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24226"/>
  <workbookProtection lockStructure="1" workbookAlgorithmName="SHA-512" workbookHashValue="LU/Hfpeg7LqfaGvaBtcX6zdZN6m7T/rtN2PDmpes5z0Qkxu0u5Z4jLQlZkOI1pT00NvQZqsTXlhDsMrZvH/qyA==" workbookSaltValue="/vu4cStUyIkfMLox19qEIw==" workbookSpinCount="100000"/>
  <bookViews>
    <workbookView xWindow="240" yWindow="105" windowWidth="20115" windowHeight="8505" firstSheet="1" activeTab="1"/>
  </bookViews>
  <sheets>
    <sheet name="جدول" sheetId="1" r:id="rId1" state="hidden"/>
    <sheet name="فیش حقوق ماهانه 1405" sheetId="2" r:id="rId2"/>
    <sheet name="محاسبه سریع" sheetId="3" r:id="rId3"/>
    <sheet name="محاسبه مالیات" sheetId="4" r:id="rId4" state="hidden"/>
  </sheets>
  <calcPr calcId="162913"/>
</workbook>
</file>

<file path=xl/sharedStrings.xml><?xml version="1.0" encoding="utf-8"?>
<sst xmlns="http://schemas.openxmlformats.org/spreadsheetml/2006/main" uniqueCount="47" count="47">
  <si>
    <t>سال محاسبه دستمزد:</t>
  </si>
  <si>
    <t>سال استخدام:</t>
  </si>
  <si>
    <t>علی اخوان مهدوی-رئیس بازرسی کار گلستان</t>
  </si>
  <si>
    <r>
      <t>تهیه و تنظیم :</t>
    </r>
    <r>
      <rPr>
        <b/>
        <charset val="178"/>
        <sz val="32"/>
        <color rgb="FFFF0000"/>
        <rFont val="B Titr"/>
      </rPr>
      <t>علی اخوان مهدوی</t>
    </r>
    <r>
      <rPr>
        <b/>
        <charset val="178"/>
        <sz val="32"/>
        <color rgb="FF000000"/>
        <rFont val="B Titr"/>
      </rPr>
      <t xml:space="preserve"> رئیس بازرسی کار   استان گلستان</t>
    </r>
  </si>
  <si>
    <t>دستمزد روزانه با احتساب پایه سنوات:</t>
  </si>
  <si>
    <t>مزد روزانه با احتساب پایه سنوات</t>
  </si>
  <si>
    <t>حقوق</t>
  </si>
  <si>
    <t>بن</t>
  </si>
  <si>
    <t>مسکن</t>
  </si>
  <si>
    <t>عیدی</t>
  </si>
  <si>
    <t>سنوات</t>
  </si>
  <si>
    <t>اضافه کار</t>
  </si>
  <si>
    <t>ساعت اضافه کاری</t>
  </si>
  <si>
    <t xml:space="preserve"> کارکرد ماهانه(روز) </t>
  </si>
  <si>
    <t>ساعت اضافه کاری در ماه را وارد کنید</t>
  </si>
  <si>
    <t>سایر مزایا(ریال)</t>
  </si>
  <si>
    <t>مزد روزانه(ریال)</t>
  </si>
  <si>
    <t>سایر مزایای به تبع شغل</t>
  </si>
  <si>
    <t>عائله مندی</t>
  </si>
  <si>
    <t>تعداد فرزند مشمول</t>
  </si>
  <si>
    <t>به شرط دارا بودن 720 روز سابقه بیمه تعداد فرزند مشمول (کوچکتر از 18 سال و...)را وارد کنید</t>
  </si>
  <si>
    <t>مشمول مالیات</t>
  </si>
  <si>
    <t>حق تاهل</t>
  </si>
  <si>
    <t>حق ماموریت</t>
  </si>
  <si>
    <t>حق ایاب و ذهاب(ریال)</t>
  </si>
  <si>
    <t>هزینه ایاب و ذهاب</t>
  </si>
  <si>
    <t>هزینه ایاب و ذهاب(هزینه های رفت و برگشت به کارگاهی که خارج از محدوده بوده و هزینه رفت و برگشت به  محل ماموریت)</t>
  </si>
  <si>
    <t>حق ماموریت(موضوع ماده 46 قانون کار)</t>
  </si>
  <si>
    <t>جمع ناخالص حقوق</t>
  </si>
  <si>
    <t>جمع خالص پس از کسر کسورات</t>
  </si>
  <si>
    <t>ماههای 31 روزه و 30 روزه و 29 روزه را تعیین کنید ومرخصی بدون حقوق را از روزهای کارکردکم کنید</t>
  </si>
  <si>
    <t>تعداد روزهای ماموریت(روز)</t>
  </si>
  <si>
    <t>کسورات بیمه 1404</t>
  </si>
  <si>
    <t>کسورات مالیات 1404</t>
  </si>
  <si>
    <t>مجموع سایر مزایای به تبع شغل (فوق العاده های مدیریت، جذب، سختی کار،شب کاری،نوبت کاری و...) را وارد کنید(ماهانه)</t>
  </si>
  <si>
    <t>میتوانید حداقل مزد روزانه را برحسب سنوات از تب "محاسبه سریع"  برداشت کنید و یا در صورت اجرای طرح طبقه بندی، مزد مبنا به همراه پایه سنوات را وارد کنید و درصورتی که مزد شما بالاتر از حداقل می باشد عدد مربوطه را وارد کنید.</t>
  </si>
  <si>
    <t>https://shenasname.ir/</t>
  </si>
  <si>
    <t>محاسبه دستمزد روزانه با احتساب پایه سنوات کارگران از سال 63 لغایت سال 1405</t>
  </si>
  <si>
    <t>جدول دستمزد با احتساب پایه سنوات کارگران از سال 63 لغایت سال 1405</t>
  </si>
  <si>
    <t>کمتر از40</t>
  </si>
  <si>
    <t>40-80</t>
  </si>
  <si>
    <t>80-100</t>
  </si>
  <si>
    <t>100-120</t>
  </si>
  <si>
    <t>120-140</t>
  </si>
  <si>
    <t>بیش از 140</t>
  </si>
  <si>
    <t>فقط مقادیر سلولهای سبز رنگ را  وارد نمایید</t>
  </si>
  <si>
    <t>فیش حقوقی(1405)</t>
  </si>
</sst>
</file>

<file path=xl/styles.xml><?xml version="1.0" encoding="utf-8"?>
<styleSheet xmlns="http://schemas.openxmlformats.org/spreadsheetml/2006/main">
  <numFmts count="9">
    <numFmt numFmtId="0" formatCode="General"/>
    <numFmt numFmtId="3" formatCode="#,##0"/>
    <numFmt numFmtId="166" formatCode="0_ ;\-0\ "/>
    <numFmt numFmtId="1" formatCode="0"/>
    <numFmt numFmtId="167" formatCode="_-* #,##0_-;_-* #,##0\-;_-* &quot;-&quot;??_-;_-@_-"/>
    <numFmt numFmtId="164" formatCode="_(* #,##0.00_);_(* \(#,##0.00\);_(* &quot;-&quot;??_);_(@_)"/>
    <numFmt numFmtId="168" formatCode="_(* #,##0_);_(* \(#,##0\);_(* &quot;-&quot;??_);_(@_)"/>
    <numFmt numFmtId="49" formatCode="@"/>
    <numFmt numFmtId="165" formatCode="_-* #,##0.00_-;_-* #,##0.00\-;_-* &quot;-&quot;??_-;_-@_-"/>
  </numFmts>
  <fonts count="24">
    <font>
      <name val="Calibri"/>
      <sz val="11"/>
    </font>
    <font>
      <name val="B Titr"/>
      <b/>
      <charset val="178"/>
      <sz val="18"/>
      <color rgb="FF000000"/>
    </font>
    <font>
      <name val="B Titr"/>
      <b/>
      <charset val="178"/>
      <sz val="16"/>
      <color rgb="FF000000"/>
    </font>
    <font>
      <name val="B Titr"/>
      <b/>
      <charset val="178"/>
      <sz val="36"/>
      <color rgb="FF000000"/>
    </font>
    <font>
      <name val="Calibri"/>
      <b/>
      <charset val="178"/>
      <sz val="16"/>
      <color rgb="FF000000"/>
    </font>
    <font>
      <name val="Calibri"/>
      <b/>
      <charset val="178"/>
      <sz val="11"/>
      <color rgb="FF000000"/>
    </font>
    <font>
      <name val="Calibri"/>
      <sz val="11"/>
      <color rgb="FF000000"/>
    </font>
    <font>
      <name val="B Titr"/>
      <b/>
      <charset val="178"/>
      <sz val="32"/>
      <color rgb="FF000000"/>
    </font>
    <font>
      <name val="B Elham"/>
      <charset val="178"/>
      <sz val="20"/>
      <color rgb="FFFFFFFF"/>
    </font>
    <font>
      <name val="B Titr"/>
      <charset val="178"/>
      <sz val="18"/>
      <color rgb="FF000000"/>
    </font>
    <font>
      <name val="B Titr"/>
      <charset val="178"/>
      <sz val="11"/>
      <color rgb="FF000000"/>
    </font>
    <font>
      <name val="B Lotus"/>
      <charset val="178"/>
      <sz val="16"/>
      <color rgb="FF000000"/>
    </font>
    <font>
      <name val="B Titr"/>
      <charset val="178"/>
      <sz val="10"/>
      <color rgb="FFFF0000"/>
    </font>
    <font>
      <name val="B Lotus"/>
      <charset val="178"/>
      <sz val="14"/>
      <color rgb="FF000000"/>
    </font>
    <font>
      <name val="B Titr"/>
      <charset val="178"/>
      <sz val="11"/>
      <color rgb="FFFF0000"/>
    </font>
    <font>
      <name val="B Titr"/>
      <charset val="178"/>
      <sz val="22"/>
      <color rgb="FF00B050"/>
    </font>
    <font>
      <name val="2  Titr"/>
      <charset val="178"/>
      <sz val="22"/>
      <color rgb="FF00B050"/>
    </font>
    <font>
      <name val="2  Titr"/>
      <charset val="178"/>
      <sz val="14"/>
      <color rgb="FF00B050"/>
    </font>
    <font>
      <name val="Calibri"/>
      <u/>
      <sz val="11"/>
      <color rgb="FF0000FF"/>
    </font>
    <font>
      <name val="B Elham"/>
      <charset val="178"/>
      <sz val="11"/>
      <color rgb="FFFFFFFF"/>
    </font>
    <font>
      <name val="B Hamid"/>
      <charset val="178"/>
      <sz val="11"/>
      <color rgb="FF000000"/>
    </font>
    <font>
      <name val="B Titr"/>
      <charset val="178"/>
      <sz val="14"/>
      <color rgb="FF000000"/>
    </font>
    <font>
      <name val="2  Titr"/>
      <charset val="178"/>
      <sz val="16"/>
      <color rgb="FFFF0000"/>
    </font>
    <font>
      <name val="Calibri"/>
      <sz val="11"/>
      <color rgb="FF000000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48A53"/>
        <bgColor indexed="64"/>
      </patternFill>
    </fill>
    <fill>
      <patternFill patternType="solid">
        <fgColor rgb="FF568FD4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65" fontId="23" fillId="0" borderId="0">
      <alignment vertical="top"/>
      <protection locked="0" hidden="0"/>
    </xf>
    <xf numFmtId="0" fontId="18" fillId="0" borderId="0">
      <alignment vertical="top"/>
      <protection locked="0" hidden="0"/>
    </xf>
  </cellStyleXfs>
  <cellXfs count="6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  <protection locked="1" hidden="1"/>
    </xf>
    <xf numFmtId="0" fontId="2" fillId="0" borderId="0" xfId="0" applyFont="1" applyAlignment="1">
      <alignment horizontal="center" vertical="center"/>
      <protection locked="1" hidden="1"/>
    </xf>
    <xf numFmtId="0" fontId="3" fillId="0" borderId="0" xfId="0" applyFont="1" applyAlignment="1">
      <alignment horizontal="center" vertical="center"/>
      <protection locked="1" hidden="1"/>
    </xf>
    <xf numFmtId="0" fontId="4" fillId="0" borderId="0" xfId="0" applyFont="1" applyAlignment="1">
      <alignment horizontal="center" vertical="center"/>
      <protection locked="1" hidden="1"/>
    </xf>
    <xf numFmtId="0" fontId="5" fillId="0" borderId="0" xfId="0" applyFont="1" applyAlignment="1">
      <alignment horizontal="center" vertical="center"/>
      <protection locked="1" hidden="1"/>
    </xf>
    <xf numFmtId="0" fontId="6" fillId="0" borderId="0" xfId="0" applyAlignment="1">
      <alignment vertical="bottom"/>
      <protection locked="1" hidden="1"/>
    </xf>
    <xf numFmtId="0" fontId="1" fillId="3" borderId="1" xfId="0" applyFont="1" applyFill="1" applyBorder="1" applyAlignment="1">
      <alignment horizontal="center" vertical="center"/>
      <protection locked="1" hidden="1"/>
    </xf>
    <xf numFmtId="0" fontId="2" fillId="4" borderId="1" xfId="0" applyFont="1" applyFill="1" applyBorder="1" applyAlignment="1">
      <alignment horizontal="center" vertical="center"/>
      <protection locked="1" hidden="1"/>
    </xf>
    <xf numFmtId="3" fontId="2" fillId="0" borderId="1" xfId="0" applyNumberFormat="1" applyFont="1" applyBorder="1" applyAlignment="1">
      <alignment horizontal="center" vertical="center"/>
      <protection locked="1" hidden="1"/>
    </xf>
    <xf numFmtId="0" fontId="2" fillId="0" borderId="1" xfId="0" applyFont="1" applyBorder="1" applyAlignment="1">
      <alignment horizontal="center" vertical="center"/>
      <protection locked="1" hidden="1"/>
    </xf>
    <xf numFmtId="0" fontId="7" fillId="0" borderId="0" xfId="0" applyFont="1" applyAlignment="1">
      <alignment horizontal="center" vertical="center"/>
      <protection locked="1" hidden="1"/>
    </xf>
    <xf numFmtId="3" fontId="2" fillId="2" borderId="1" xfId="0" applyNumberFormat="1" applyFont="1" applyFill="1" applyBorder="1" applyAlignment="1">
      <alignment horizontal="center" vertical="center"/>
      <protection locked="1" hidden="1"/>
    </xf>
    <xf numFmtId="3" fontId="2" fillId="4" borderId="1" xfId="0" applyNumberFormat="1" applyFont="1" applyFill="1" applyBorder="1" applyAlignment="1">
      <alignment horizontal="center" vertical="center"/>
      <protection locked="1" hidden="1"/>
    </xf>
    <xf numFmtId="3" fontId="2" fillId="0" borderId="0" xfId="0" applyNumberFormat="1" applyFont="1" applyAlignment="1">
      <alignment horizontal="center" vertical="center"/>
      <protection locked="1" hidden="1"/>
    </xf>
    <xf numFmtId="3" fontId="2" fillId="0" borderId="0" xfId="0" applyNumberFormat="1" applyFont="1" applyAlignment="1">
      <alignment horizontal="center" vertical="center"/>
      <protection locked="1" hidden="1"/>
    </xf>
    <xf numFmtId="3" fontId="2" fillId="5" borderId="1" xfId="0" applyNumberFormat="1" applyFont="1" applyFill="1" applyBorder="1" applyAlignment="1">
      <alignment horizontal="center" vertical="center"/>
      <protection locked="1" hidden="1"/>
    </xf>
    <xf numFmtId="3" fontId="2" fillId="6" borderId="1" xfId="0" applyNumberFormat="1" applyFont="1" applyFill="1" applyBorder="1" applyAlignment="1">
      <alignment horizontal="center" vertical="center"/>
      <protection locked="1" hidden="1"/>
    </xf>
    <xf numFmtId="166" fontId="2" fillId="3" borderId="1" xfId="1" applyNumberFormat="1" applyFont="1" applyFill="1" applyBorder="1" applyAlignment="1">
      <alignment horizontal="center" vertical="center"/>
      <protection locked="1" hidden="1"/>
    </xf>
    <xf numFmtId="1" fontId="2" fillId="3" borderId="1" xfId="0" applyNumberFormat="1" applyFont="1" applyFill="1" applyBorder="1" applyAlignment="1">
      <alignment horizontal="center" vertical="center"/>
      <protection locked="1" hidden="1"/>
    </xf>
    <xf numFmtId="0" fontId="8" fillId="7" borderId="0" xfId="0" applyFont="1" applyFill="1" applyAlignment="1">
      <alignment horizontal="center" vertical="bottom"/>
      <protection locked="1" hidden="1"/>
    </xf>
    <xf numFmtId="0" fontId="9" fillId="8" borderId="2" xfId="0" applyFont="1" applyFill="1" applyBorder="1" applyAlignment="1">
      <alignment horizontal="center" vertical="bottom"/>
    </xf>
    <xf numFmtId="0" fontId="9" fillId="8" borderId="3" xfId="0" applyFont="1" applyFill="1" applyBorder="1" applyAlignment="1">
      <alignment horizontal="center" vertical="bottom"/>
    </xf>
    <xf numFmtId="0" fontId="10" fillId="0" borderId="4" xfId="0" applyFont="1" applyBorder="1" applyAlignment="1">
      <alignment vertical="bottom"/>
    </xf>
    <xf numFmtId="3" fontId="11" fillId="9" borderId="5" xfId="0" applyNumberFormat="1" applyFont="1" applyFill="1" applyBorder="1" applyAlignment="1">
      <alignment horizontal="center" vertical="center"/>
      <protection locked="0" hidden="0"/>
    </xf>
    <xf numFmtId="0" fontId="12" fillId="0" borderId="6" xfId="0" applyFont="1" applyBorder="1" applyAlignment="1">
      <alignment horizontal="center" vertical="center" wrapText="1"/>
    </xf>
    <xf numFmtId="0" fontId="10" fillId="8" borderId="7" xfId="0" applyFont="1" applyFill="1" applyBorder="1" applyAlignment="1">
      <alignment vertical="bottom"/>
    </xf>
    <xf numFmtId="3" fontId="13" fillId="0" borderId="8" xfId="0" applyNumberFormat="1" applyFont="1" applyBorder="1" applyAlignment="1">
      <alignment horizontal="center" vertical="center"/>
      <protection locked="1" hidden="1"/>
    </xf>
    <xf numFmtId="0" fontId="10" fillId="0" borderId="9" xfId="0" applyFont="1" applyBorder="1" applyAlignment="1">
      <alignment vertical="bottom"/>
    </xf>
    <xf numFmtId="0" fontId="11" fillId="9" borderId="10" xfId="0" applyFont="1" applyFill="1" applyBorder="1" applyAlignment="1">
      <alignment horizontal="center" vertical="center"/>
      <protection locked="0" hidden="0"/>
    </xf>
    <xf numFmtId="0" fontId="14" fillId="0" borderId="6" xfId="0" applyFont="1" applyBorder="1" applyAlignment="1">
      <alignment horizontal="center" vertical="bottom"/>
    </xf>
    <xf numFmtId="0" fontId="10" fillId="8" borderId="11" xfId="0" applyFont="1" applyFill="1" applyBorder="1" applyAlignment="1">
      <alignment vertical="bottom"/>
    </xf>
    <xf numFmtId="167" fontId="13" fillId="0" borderId="12" xfId="1" applyNumberFormat="1" applyFont="1" applyBorder="1" applyAlignment="1">
      <alignment horizontal="center" vertical="center" readingOrder="1"/>
      <protection locked="1" hidden="1"/>
    </xf>
    <xf numFmtId="167" fontId="11" fillId="9" borderId="10" xfId="1" applyNumberFormat="1" applyFont="1" applyFill="1" applyBorder="1" applyAlignment="1">
      <alignment horizontal="left" vertical="top" readingOrder="1"/>
      <protection locked="0" hidden="0"/>
    </xf>
    <xf numFmtId="0" fontId="10" fillId="0" borderId="13" xfId="0" applyFont="1" applyFill="1" applyBorder="1" applyAlignment="1">
      <alignment vertical="bottom"/>
    </xf>
    <xf numFmtId="3" fontId="11" fillId="9" borderId="14" xfId="0" applyNumberFormat="1" applyFont="1" applyFill="1" applyBorder="1" applyAlignment="1">
      <alignment horizontal="center" vertical="center"/>
      <protection locked="0" hidden="0"/>
    </xf>
    <xf numFmtId="0" fontId="12" fillId="0" borderId="6" xfId="0" applyFont="1" applyBorder="1" applyAlignment="1">
      <alignment horizontal="center" vertical="bottom"/>
    </xf>
    <xf numFmtId="164" fontId="13" fillId="0" borderId="12" xfId="0" applyNumberFormat="1" applyFont="1" applyBorder="1" applyAlignment="1">
      <alignment horizontal="center" vertical="center" readingOrder="1"/>
      <protection locked="1" hidden="1"/>
    </xf>
    <xf numFmtId="0" fontId="6" fillId="0" borderId="0" xfId="0" applyAlignment="1">
      <alignment vertical="bottom"/>
      <protection locked="0" hidden="0"/>
    </xf>
    <xf numFmtId="0" fontId="10" fillId="8" borderId="11" xfId="0" applyFont="1" applyFill="1" applyBorder="1" applyAlignment="1">
      <alignment horizontal="right" vertical="bottom" indent="1" readingOrder="1"/>
    </xf>
    <xf numFmtId="0" fontId="15" fillId="0" borderId="15" xfId="0" applyFont="1" applyBorder="1" applyAlignment="1">
      <alignment horizontal="center" vertical="center"/>
    </xf>
    <xf numFmtId="168" fontId="13" fillId="0" borderId="12" xfId="0" applyNumberFormat="1" applyFont="1" applyBorder="1" applyAlignment="1">
      <alignment horizontal="center" vertical="center" readingOrder="1"/>
      <protection locked="1" hidden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2" applyAlignment="1">
      <alignment vertical="bottom"/>
    </xf>
    <xf numFmtId="167" fontId="13" fillId="0" borderId="12" xfId="0" applyNumberFormat="1" applyFont="1" applyBorder="1" applyAlignment="1">
      <alignment horizontal="center" vertical="center" readingOrder="1"/>
      <protection locked="1" hidden="1"/>
    </xf>
    <xf numFmtId="0" fontId="10" fillId="8" borderId="16" xfId="0" applyFont="1" applyFill="1" applyBorder="1" applyAlignment="1">
      <alignment vertical="bottom"/>
    </xf>
    <xf numFmtId="167" fontId="13" fillId="0" borderId="17" xfId="0" applyNumberFormat="1" applyFont="1" applyBorder="1" applyAlignment="1">
      <alignment horizontal="center" vertical="center" readingOrder="1"/>
      <protection locked="1" hidden="1"/>
    </xf>
    <xf numFmtId="0" fontId="10" fillId="8" borderId="18" xfId="0" applyFont="1" applyFill="1" applyBorder="1" applyAlignment="1">
      <alignment vertical="bottom"/>
    </xf>
    <xf numFmtId="167" fontId="13" fillId="0" borderId="19" xfId="0" applyNumberFormat="1" applyFont="1" applyBorder="1" applyAlignment="1">
      <alignment horizontal="center" vertical="center" readingOrder="1"/>
      <protection locked="1" hidden="1"/>
    </xf>
    <xf numFmtId="0" fontId="19" fillId="7" borderId="0" xfId="0" applyFont="1" applyFill="1" applyAlignment="1">
      <alignment horizontal="center" vertical="bottom"/>
      <protection locked="1" hidden="1"/>
    </xf>
    <xf numFmtId="0" fontId="20" fillId="10" borderId="1" xfId="0" applyFont="1" applyFill="1" applyBorder="1" applyAlignment="1">
      <alignment horizontal="center" vertical="bottom"/>
      <protection locked="1" hidden="1"/>
    </xf>
    <xf numFmtId="0" fontId="21" fillId="11" borderId="20" xfId="0" applyFont="1" applyFill="1" applyBorder="1" applyAlignment="1">
      <alignment horizontal="right" vertical="bottom" readingOrder="1"/>
      <protection locked="1" hidden="1"/>
    </xf>
    <xf numFmtId="0" fontId="21" fillId="11" borderId="21" xfId="0" applyFont="1" applyFill="1" applyBorder="1" applyAlignment="1">
      <alignment horizontal="right" vertical="bottom" readingOrder="1"/>
      <protection locked="1" hidden="1"/>
    </xf>
    <xf numFmtId="0" fontId="21" fillId="11" borderId="22" xfId="0" applyFont="1" applyFill="1" applyBorder="1" applyAlignment="1">
      <alignment horizontal="right" vertical="bottom" readingOrder="1"/>
      <protection locked="1" hidden="1"/>
    </xf>
    <xf numFmtId="0" fontId="21" fillId="12" borderId="1" xfId="0" applyFont="1" applyFill="1" applyBorder="1" applyAlignment="1">
      <alignment horizontal="center" vertical="center"/>
      <protection locked="0" hidden="0"/>
    </xf>
    <xf numFmtId="0" fontId="21" fillId="11" borderId="20" xfId="0" applyFont="1" applyFill="1" applyBorder="1" applyAlignment="1">
      <alignment horizontal="center" vertical="bottom" readingOrder="1"/>
      <protection locked="1" hidden="1"/>
    </xf>
    <xf numFmtId="0" fontId="21" fillId="11" borderId="21" xfId="0" applyFont="1" applyFill="1" applyBorder="1" applyAlignment="1">
      <alignment horizontal="center" vertical="bottom" readingOrder="1"/>
      <protection locked="1" hidden="1"/>
    </xf>
    <xf numFmtId="0" fontId="21" fillId="11" borderId="22" xfId="0" applyFont="1" applyFill="1" applyBorder="1" applyAlignment="1">
      <alignment horizontal="center" vertical="bottom" readingOrder="1"/>
      <protection locked="1" hidden="1"/>
    </xf>
    <xf numFmtId="3" fontId="21" fillId="3" borderId="1" xfId="0" applyNumberFormat="1" applyFont="1" applyFill="1" applyBorder="1" applyAlignment="1">
      <alignment horizontal="center" vertical="center"/>
      <protection locked="1" hidden="1"/>
    </xf>
    <xf numFmtId="0" fontId="22" fillId="0" borderId="23" xfId="0" applyFont="1" applyBorder="1" applyAlignment="1">
      <alignment horizontal="center" vertical="bottom" wrapText="1"/>
      <protection locked="1" hidden="1"/>
    </xf>
    <xf numFmtId="0" fontId="22" fillId="0" borderId="0" xfId="0" applyFont="1" applyBorder="1" applyAlignment="1">
      <alignment horizontal="center" vertical="bottom" wrapText="1"/>
      <protection locked="1" hidden="1"/>
    </xf>
    <xf numFmtId="49" fontId="6" fillId="0" borderId="0" xfId="0" applyNumberFormat="1" applyAlignment="1">
      <alignment horizontal="center" vertical="center"/>
    </xf>
    <xf numFmtId="167" fontId="6" fillId="0" borderId="0" xfId="1" applyNumberFormat="1" applyFont="1" applyAlignment="1">
      <alignment vertical="bottom"/>
    </xf>
    <xf numFmtId="167" fontId="6" fillId="0" borderId="0" xfId="0" applyNumberFormat="1" applyAlignment="1">
      <alignment vertical="bottom"/>
    </xf>
  </cellXfs>
  <cellStyles count="3">
    <cellStyle name="常规" xfId="0" builtinId="0"/>
    <cellStyle name="千位分隔" xfId="1" builtinId="3"/>
    <cellStyle name="Hyperlink" xfId="2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www.wps.cn/officeDocument/2020/cellImage" Target="cellimages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27501</xdr:colOff>
      <xdr:row>10</xdr:row>
      <xdr:rowOff>176807</xdr:rowOff>
    </xdr:from>
    <xdr:to>
      <xdr:col>4</xdr:col>
      <xdr:colOff>1351256</xdr:colOff>
      <xdr:row>14</xdr:row>
      <xdr:rowOff>266439</xdr:rowOff>
    </xdr:to>
    <xdr:pic>
      <xdr:nvPicPr>
        <xdr:cNvPr id="2" name="Picture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038600" y="3837814"/>
          <a:ext cx="1323975" cy="132397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hyperlink" Target="https://shenasname.ir/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S46"/>
  <sheetViews>
    <sheetView workbookViewId="0" zoomScale="50">
      <selection activeCell="J7" sqref="J7:X7"/>
    </sheetView>
  </sheetViews>
  <sheetFormatPr defaultRowHeight="15.0" defaultColWidth="10"/>
  <cols>
    <col min="1" max="1" customWidth="1" bestFit="1" width="17.570312" style="0"/>
    <col min="2" max="40" customWidth="1" width="17.285156" style="0"/>
    <col min="41" max="41" customWidth="1" width="16.570312" style="0"/>
    <col min="42" max="42" customWidth="1" width="17.425781" style="0"/>
    <col min="43" max="43" customWidth="1" width="18.570312" style="0"/>
    <col min="44" max="44" customWidth="1" width="20.285156" style="0"/>
  </cols>
  <sheetData>
    <row r="1" spans="8:8" ht="36.0">
      <c r="A1" s="1"/>
      <c r="B1" s="2"/>
      <c r="C1" s="2"/>
      <c r="D1" s="2"/>
      <c r="E1" s="2"/>
      <c r="F1" s="2"/>
      <c r="G1" s="2"/>
      <c r="H1" s="2"/>
      <c r="I1" s="2"/>
      <c r="J1" s="3" t="s">
        <v>38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2"/>
      <c r="Z1" s="2"/>
      <c r="AA1" s="2"/>
      <c r="AB1" s="4"/>
      <c r="AC1" s="4"/>
      <c r="AD1" s="4"/>
      <c r="AE1" s="4"/>
      <c r="AF1" s="4"/>
      <c r="AG1" s="4"/>
      <c r="AH1" s="5"/>
      <c r="AI1" s="5"/>
      <c r="AJ1" s="5"/>
      <c r="AK1" s="6"/>
      <c r="AL1" s="6"/>
    </row>
    <row r="2" spans="8:8" ht="36.0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2"/>
      <c r="AA2" s="2"/>
      <c r="AB2" s="4"/>
      <c r="AC2" s="4"/>
      <c r="AD2" s="4"/>
      <c r="AE2" s="4"/>
      <c r="AF2" s="4"/>
      <c r="AG2" s="4"/>
      <c r="AH2" s="5"/>
      <c r="AI2" s="5"/>
      <c r="AJ2" s="5"/>
      <c r="AK2" s="6"/>
      <c r="AL2" s="6"/>
    </row>
    <row r="3" spans="8:8" ht="36.0">
      <c r="A3" s="7">
        <v>1363.0</v>
      </c>
      <c r="B3" s="8">
        <v>635.0</v>
      </c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2"/>
      <c r="AA3" s="2"/>
      <c r="AB3" s="4"/>
      <c r="AC3" s="4"/>
      <c r="AD3" s="4"/>
      <c r="AE3" s="4"/>
      <c r="AF3" s="4"/>
      <c r="AG3" s="4"/>
      <c r="AH3" s="5"/>
      <c r="AI3" s="5"/>
      <c r="AJ3" s="5"/>
      <c r="AK3" s="6"/>
      <c r="AL3" s="6"/>
    </row>
    <row r="4" spans="8:8" ht="36.0">
      <c r="A4" s="7">
        <v>1364.0</v>
      </c>
      <c r="B4" s="9">
        <f t="shared" si="0" ref="B4">B3+85+40</f>
        <v>760.0</v>
      </c>
      <c r="C4" s="8">
        <v>720.0</v>
      </c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Z4" s="2"/>
      <c r="AA4" s="2"/>
      <c r="AB4" s="4"/>
      <c r="AC4" s="4"/>
      <c r="AD4" s="4"/>
      <c r="AE4" s="4"/>
      <c r="AF4" s="4"/>
      <c r="AG4" s="4"/>
      <c r="AH4" s="5"/>
      <c r="AI4" s="5"/>
      <c r="AJ4" s="5"/>
      <c r="AK4" s="6"/>
      <c r="AL4" s="6"/>
    </row>
    <row r="5" spans="8:8" ht="36.0">
      <c r="A5" s="7">
        <v>1365.0</v>
      </c>
      <c r="B5" s="9">
        <f t="shared" si="1" ref="B5">B4+0</f>
        <v>760.0</v>
      </c>
      <c r="C5" s="10">
        <f>C4+0</f>
        <v>720.0</v>
      </c>
      <c r="D5" s="8">
        <v>720.0</v>
      </c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2"/>
      <c r="AA5" s="2"/>
      <c r="AB5" s="4"/>
      <c r="AC5" s="4"/>
      <c r="AD5" s="4"/>
      <c r="AE5" s="4"/>
      <c r="AF5" s="4"/>
      <c r="AG5" s="4"/>
      <c r="AH5" s="5"/>
      <c r="AI5" s="5"/>
      <c r="AJ5" s="5"/>
      <c r="AK5" s="6"/>
      <c r="AL5" s="6"/>
    </row>
    <row r="6" spans="8:8" ht="36.0">
      <c r="A6" s="7">
        <v>1366.0</v>
      </c>
      <c r="B6" s="9">
        <f t="shared" si="2" ref="B6:C6">B5+100</f>
        <v>860.0</v>
      </c>
      <c r="C6" s="10">
        <f t="shared" si="2"/>
        <v>820.0</v>
      </c>
      <c r="D6" s="10">
        <f>D5+100</f>
        <v>820.0</v>
      </c>
      <c r="E6" s="8">
        <v>760.0</v>
      </c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"/>
      <c r="Z6" s="2"/>
      <c r="AA6" s="2"/>
      <c r="AB6" s="4"/>
      <c r="AC6" s="4"/>
      <c r="AD6" s="4"/>
      <c r="AE6" s="4"/>
      <c r="AF6" s="4"/>
      <c r="AG6" s="4"/>
      <c r="AH6" s="5"/>
      <c r="AI6" s="5"/>
      <c r="AJ6" s="5"/>
      <c r="AK6" s="6"/>
      <c r="AL6" s="6"/>
    </row>
    <row r="7" spans="8:8" ht="38.25" customHeight="1">
      <c r="A7" s="7">
        <v>1367.0</v>
      </c>
      <c r="B7" s="9">
        <f t="shared" si="3" ref="B7:D7">B6+70+60</f>
        <v>990.0</v>
      </c>
      <c r="C7" s="10">
        <f t="shared" si="3"/>
        <v>950.0</v>
      </c>
      <c r="D7" s="10">
        <f t="shared" si="3"/>
        <v>950.0</v>
      </c>
      <c r="E7" s="10">
        <f>E6+70+60</f>
        <v>890.0</v>
      </c>
      <c r="F7" s="8">
        <v>830.0</v>
      </c>
      <c r="G7" s="2"/>
      <c r="H7" s="2"/>
      <c r="I7" s="2"/>
      <c r="J7" s="11" t="s">
        <v>3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2"/>
      <c r="Z7" s="2"/>
      <c r="AA7" s="2"/>
      <c r="AB7" s="4"/>
      <c r="AC7" s="4"/>
      <c r="AD7" s="4"/>
      <c r="AE7" s="4"/>
      <c r="AF7" s="4"/>
      <c r="AG7" s="4"/>
      <c r="AH7" s="5"/>
      <c r="AI7" s="5"/>
      <c r="AJ7" s="5"/>
      <c r="AK7" s="6"/>
      <c r="AL7" s="6"/>
    </row>
    <row r="8" spans="8:8" ht="36.0">
      <c r="A8" s="7">
        <v>1368.0</v>
      </c>
      <c r="B8" s="12">
        <f t="shared" si="4" ref="B8:F8">B7+60</f>
        <v>1050.0</v>
      </c>
      <c r="C8" s="12">
        <f t="shared" si="4"/>
        <v>1010.0</v>
      </c>
      <c r="D8" s="12">
        <f t="shared" si="4"/>
        <v>1010.0</v>
      </c>
      <c r="E8" s="12">
        <f t="shared" si="4"/>
        <v>950.0</v>
      </c>
      <c r="F8" s="12">
        <f t="shared" si="4"/>
        <v>890.0</v>
      </c>
      <c r="G8" s="13">
        <v>830.0</v>
      </c>
      <c r="H8" s="14"/>
      <c r="I8" s="14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4"/>
      <c r="Z8" s="14"/>
      <c r="AA8" s="14"/>
      <c r="AB8" s="14"/>
      <c r="AC8" s="14"/>
      <c r="AD8" s="14"/>
      <c r="AE8" s="14"/>
      <c r="AF8" s="14"/>
      <c r="AG8" s="14"/>
      <c r="AH8" s="5"/>
      <c r="AI8" s="5"/>
      <c r="AJ8" s="5"/>
      <c r="AK8" s="6"/>
      <c r="AL8" s="6"/>
    </row>
    <row r="9" spans="8:8" ht="36.0">
      <c r="A9" s="7">
        <v>1369.0</v>
      </c>
      <c r="B9" s="9">
        <f t="shared" si="5" ref="B9:F9">B8+170+60</f>
        <v>1280.0</v>
      </c>
      <c r="C9" s="9">
        <f t="shared" si="5"/>
        <v>1240.0</v>
      </c>
      <c r="D9" s="9">
        <f t="shared" si="5"/>
        <v>1240.0</v>
      </c>
      <c r="E9" s="9">
        <f t="shared" si="5"/>
        <v>1180.0</v>
      </c>
      <c r="F9" s="9">
        <f t="shared" si="5"/>
        <v>1120.0</v>
      </c>
      <c r="G9" s="9">
        <f>G8+170+60</f>
        <v>1060.0</v>
      </c>
      <c r="H9" s="16">
        <v>1000.0</v>
      </c>
      <c r="I9" s="14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4"/>
      <c r="Z9" s="14"/>
      <c r="AA9" s="14"/>
      <c r="AB9" s="14"/>
      <c r="AC9" s="14"/>
      <c r="AD9" s="14"/>
      <c r="AE9" s="14"/>
      <c r="AF9" s="14"/>
      <c r="AG9" s="14"/>
      <c r="AH9" s="5"/>
      <c r="AI9" s="5"/>
      <c r="AJ9" s="5"/>
      <c r="AK9" s="6"/>
      <c r="AL9" s="6"/>
    </row>
    <row r="10" spans="8:8" ht="36.0">
      <c r="A10" s="7">
        <v>1370.0</v>
      </c>
      <c r="B10" s="9">
        <f t="shared" si="6" ref="B10:G10">B9+667+60</f>
        <v>2007.0</v>
      </c>
      <c r="C10" s="9">
        <f t="shared" si="6"/>
        <v>1967.0</v>
      </c>
      <c r="D10" s="9">
        <f t="shared" si="6"/>
        <v>1967.0</v>
      </c>
      <c r="E10" s="9">
        <f t="shared" si="6"/>
        <v>1907.0</v>
      </c>
      <c r="F10" s="9">
        <f t="shared" si="6"/>
        <v>1847.0</v>
      </c>
      <c r="G10" s="9">
        <f t="shared" si="6"/>
        <v>1787.0</v>
      </c>
      <c r="H10" s="9">
        <f>H9+667+60</f>
        <v>1727.0</v>
      </c>
      <c r="I10" s="16">
        <v>1677.0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5"/>
      <c r="AI10" s="5"/>
      <c r="AJ10" s="5"/>
      <c r="AK10" s="6"/>
      <c r="AL10" s="6"/>
    </row>
    <row r="11" spans="8:8" ht="36.0">
      <c r="A11" s="7">
        <v>1371.0</v>
      </c>
      <c r="B11" s="9">
        <f t="shared" si="7" ref="B11:H11">B10+600+60</f>
        <v>2667.0</v>
      </c>
      <c r="C11" s="9">
        <f t="shared" si="7"/>
        <v>2627.0</v>
      </c>
      <c r="D11" s="9">
        <f t="shared" si="7"/>
        <v>2627.0</v>
      </c>
      <c r="E11" s="9">
        <f t="shared" si="7"/>
        <v>2567.0</v>
      </c>
      <c r="F11" s="9">
        <f t="shared" si="7"/>
        <v>2507.0</v>
      </c>
      <c r="G11" s="9">
        <f t="shared" si="7"/>
        <v>2447.0</v>
      </c>
      <c r="H11" s="9">
        <f t="shared" si="7"/>
        <v>2387.0</v>
      </c>
      <c r="I11" s="9">
        <f>I10+600+60</f>
        <v>2337.0</v>
      </c>
      <c r="J11" s="16">
        <v>2267.0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5"/>
      <c r="AI11" s="5"/>
      <c r="AJ11" s="5"/>
      <c r="AK11" s="6"/>
      <c r="AL11" s="6"/>
    </row>
    <row r="12" spans="8:8" ht="36.0">
      <c r="A12" s="7">
        <v>1372.0</v>
      </c>
      <c r="B12" s="9">
        <f t="shared" si="8" ref="B12:I12">B11+(10%*B11)+500+60</f>
        <v>3493.7</v>
      </c>
      <c r="C12" s="9">
        <f t="shared" si="8"/>
        <v>3449.7</v>
      </c>
      <c r="D12" s="9">
        <f t="shared" si="8"/>
        <v>3449.7</v>
      </c>
      <c r="E12" s="9">
        <f t="shared" si="8"/>
        <v>3383.7</v>
      </c>
      <c r="F12" s="9">
        <f t="shared" si="8"/>
        <v>3317.7</v>
      </c>
      <c r="G12" s="9">
        <f t="shared" si="8"/>
        <v>3251.7</v>
      </c>
      <c r="H12" s="9">
        <f t="shared" si="8"/>
        <v>3185.7</v>
      </c>
      <c r="I12" s="9">
        <f t="shared" si="8"/>
        <v>3130.7</v>
      </c>
      <c r="J12" s="9">
        <f>J11+(10%*J11)+500+60</f>
        <v>3053.7</v>
      </c>
      <c r="K12" s="16">
        <v>2994.0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5"/>
      <c r="AI12" s="5"/>
      <c r="AJ12" s="5"/>
      <c r="AK12" s="6"/>
      <c r="AL12" s="6"/>
    </row>
    <row r="13" spans="8:8" ht="36.0">
      <c r="A13" s="7">
        <v>1373.0</v>
      </c>
      <c r="B13" s="9">
        <f t="shared" si="9" ref="B13:J13">B12+(10%*B12)+600+80</f>
        <v>4523.07</v>
      </c>
      <c r="C13" s="9">
        <f t="shared" si="9"/>
        <v>4474.67</v>
      </c>
      <c r="D13" s="9">
        <f t="shared" si="9"/>
        <v>4474.67</v>
      </c>
      <c r="E13" s="9">
        <f t="shared" si="9"/>
        <v>4402.07</v>
      </c>
      <c r="F13" s="9">
        <f t="shared" si="9"/>
        <v>4329.47</v>
      </c>
      <c r="G13" s="9">
        <f t="shared" si="9"/>
        <v>4256.87</v>
      </c>
      <c r="H13" s="9">
        <f t="shared" si="9"/>
        <v>4184.27</v>
      </c>
      <c r="I13" s="9">
        <f t="shared" si="9"/>
        <v>4123.77</v>
      </c>
      <c r="J13" s="9">
        <f t="shared" si="9"/>
        <v>4039.07</v>
      </c>
      <c r="K13" s="9">
        <f>K12+(10%*K12)+600+80</f>
        <v>3973.4</v>
      </c>
      <c r="L13" s="16">
        <v>3894.0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5"/>
      <c r="AI13" s="5"/>
      <c r="AJ13" s="5"/>
      <c r="AK13" s="6"/>
      <c r="AL13" s="6"/>
    </row>
    <row r="14" spans="8:8" ht="36.0">
      <c r="A14" s="7">
        <v>1374.0</v>
      </c>
      <c r="B14" s="9">
        <f t="shared" si="10" ref="B14:K14">B13+(10%*B13)+1050+100</f>
        <v>6125.377</v>
      </c>
      <c r="C14" s="9">
        <f t="shared" si="10"/>
        <v>6072.137</v>
      </c>
      <c r="D14" s="9">
        <f t="shared" si="10"/>
        <v>6072.137</v>
      </c>
      <c r="E14" s="9">
        <f t="shared" si="10"/>
        <v>5992.277</v>
      </c>
      <c r="F14" s="9">
        <f t="shared" si="10"/>
        <v>5912.417</v>
      </c>
      <c r="G14" s="9">
        <f t="shared" si="10"/>
        <v>5832.557</v>
      </c>
      <c r="H14" s="9">
        <f t="shared" si="10"/>
        <v>5752.697</v>
      </c>
      <c r="I14" s="9">
        <f t="shared" si="10"/>
        <v>5686.147</v>
      </c>
      <c r="J14" s="9">
        <f t="shared" si="10"/>
        <v>5592.977</v>
      </c>
      <c r="K14" s="9">
        <f t="shared" si="10"/>
        <v>5520.74</v>
      </c>
      <c r="L14" s="9">
        <f>L13+(10%*L13)+1050+100</f>
        <v>5433.4</v>
      </c>
      <c r="M14" s="16">
        <v>5333.0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5"/>
      <c r="AI14" s="5"/>
      <c r="AJ14" s="5"/>
      <c r="AK14" s="6"/>
      <c r="AL14" s="6"/>
    </row>
    <row r="15" spans="8:8" ht="36.0">
      <c r="A15" s="7">
        <v>1375.0</v>
      </c>
      <c r="B15" s="9">
        <f t="shared" si="11" ref="B15:L15">B14+(7%*B14)+1200+125</f>
        <v>7879.15339</v>
      </c>
      <c r="C15" s="9">
        <f t="shared" si="11"/>
        <v>7822.18659</v>
      </c>
      <c r="D15" s="9">
        <f t="shared" si="11"/>
        <v>7822.18659</v>
      </c>
      <c r="E15" s="9">
        <f t="shared" si="11"/>
        <v>7736.73639</v>
      </c>
      <c r="F15" s="9">
        <f t="shared" si="11"/>
        <v>7651.28619</v>
      </c>
      <c r="G15" s="9">
        <f t="shared" si="11"/>
        <v>7565.83599</v>
      </c>
      <c r="H15" s="9">
        <f t="shared" si="11"/>
        <v>7480.38579</v>
      </c>
      <c r="I15" s="9">
        <f t="shared" si="11"/>
        <v>7409.17729</v>
      </c>
      <c r="J15" s="9">
        <f t="shared" si="11"/>
        <v>7309.48539</v>
      </c>
      <c r="K15" s="9">
        <f t="shared" si="11"/>
        <v>7232.1918</v>
      </c>
      <c r="L15" s="9">
        <f t="shared" si="11"/>
        <v>7138.738</v>
      </c>
      <c r="M15" s="9">
        <f>M14+(7%*M14)+1200+125</f>
        <v>7031.31</v>
      </c>
      <c r="N15" s="16">
        <v>6907.0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5"/>
      <c r="AI15" s="5"/>
      <c r="AJ15" s="5"/>
      <c r="AK15" s="6"/>
      <c r="AL15" s="6"/>
    </row>
    <row r="16" spans="8:8" ht="36.0">
      <c r="A16" s="7">
        <v>1376.0</v>
      </c>
      <c r="B16" s="9">
        <f t="shared" si="12" ref="B16:M16">B15+(22.8%*B15)+125</f>
        <v>9800.60036292</v>
      </c>
      <c r="C16" s="9">
        <f t="shared" si="12"/>
        <v>9730.64513252</v>
      </c>
      <c r="D16" s="9">
        <f t="shared" si="12"/>
        <v>9730.64513252</v>
      </c>
      <c r="E16" s="9">
        <f t="shared" si="12"/>
        <v>9625.71228692</v>
      </c>
      <c r="F16" s="9">
        <f t="shared" si="12"/>
        <v>9520.77944132</v>
      </c>
      <c r="G16" s="9">
        <f t="shared" si="12"/>
        <v>9415.84659572</v>
      </c>
      <c r="H16" s="9">
        <f t="shared" si="12"/>
        <v>9310.91375012</v>
      </c>
      <c r="I16" s="9">
        <f t="shared" si="12"/>
        <v>9223.46971212</v>
      </c>
      <c r="J16" s="9">
        <f t="shared" si="12"/>
        <v>9101.04805892</v>
      </c>
      <c r="K16" s="9">
        <f t="shared" si="12"/>
        <v>9006.1315304</v>
      </c>
      <c r="L16" s="9">
        <f t="shared" si="12"/>
        <v>8891.370264</v>
      </c>
      <c r="M16" s="9">
        <f t="shared" si="12"/>
        <v>8759.44868</v>
      </c>
      <c r="N16" s="9">
        <f>N15+(22.8%*N15)+125</f>
        <v>8606.796</v>
      </c>
      <c r="O16" s="16">
        <v>8482.0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5"/>
      <c r="AI16" s="5"/>
      <c r="AJ16" s="5"/>
      <c r="AK16" s="6"/>
      <c r="AL16" s="6"/>
    </row>
    <row r="17" spans="8:8" ht="36.0">
      <c r="A17" s="7">
        <v>1377.0</v>
      </c>
      <c r="B17" s="9">
        <f t="shared" si="13" ref="B17:N17">B16+(18.5%*B16)+150</f>
        <v>11763.7114300602</v>
      </c>
      <c r="C17" s="9">
        <f t="shared" si="13"/>
        <v>11680.8144820362</v>
      </c>
      <c r="D17" s="9">
        <f t="shared" si="13"/>
        <v>11680.8144820362</v>
      </c>
      <c r="E17" s="9">
        <f t="shared" si="13"/>
        <v>11556.4690600002</v>
      </c>
      <c r="F17" s="9">
        <f t="shared" si="13"/>
        <v>11432.1236379642</v>
      </c>
      <c r="G17" s="9">
        <f t="shared" si="13"/>
        <v>11307.7782159282</v>
      </c>
      <c r="H17" s="9">
        <f t="shared" si="13"/>
        <v>11183.4327938922</v>
      </c>
      <c r="I17" s="9">
        <f t="shared" si="13"/>
        <v>11079.8116088622</v>
      </c>
      <c r="J17" s="9">
        <f t="shared" si="13"/>
        <v>10934.7419498202</v>
      </c>
      <c r="K17" s="9">
        <f t="shared" si="13"/>
        <v>10822.265863524</v>
      </c>
      <c r="L17" s="9">
        <f t="shared" si="13"/>
        <v>10686.27376284</v>
      </c>
      <c r="M17" s="9">
        <f t="shared" si="13"/>
        <v>10529.9466858</v>
      </c>
      <c r="N17" s="9">
        <f t="shared" si="13"/>
        <v>10349.05326</v>
      </c>
      <c r="O17" s="9">
        <f>O16+(18.5%*O16)+150</f>
        <v>10201.17</v>
      </c>
      <c r="P17" s="16">
        <v>10051.0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5"/>
      <c r="AI17" s="5"/>
      <c r="AJ17" s="5"/>
      <c r="AK17" s="6"/>
      <c r="AL17" s="6"/>
    </row>
    <row r="18" spans="8:8" ht="36.0">
      <c r="A18" s="7">
        <v>1378.0</v>
      </c>
      <c r="B18" s="9">
        <f t="shared" si="14" ref="B18:O18">B17+(20%*B17)+210</f>
        <v>14326.4537160722</v>
      </c>
      <c r="C18" s="9">
        <f t="shared" si="14"/>
        <v>14226.9773784434</v>
      </c>
      <c r="D18" s="9">
        <f t="shared" si="14"/>
        <v>14226.9773784434</v>
      </c>
      <c r="E18" s="9">
        <f t="shared" si="14"/>
        <v>14077.7628720002</v>
      </c>
      <c r="F18" s="9">
        <f t="shared" si="14"/>
        <v>13928.548365557</v>
      </c>
      <c r="G18" s="9">
        <f t="shared" si="14"/>
        <v>13779.3338591138</v>
      </c>
      <c r="H18" s="9">
        <f t="shared" si="14"/>
        <v>13630.1193526706</v>
      </c>
      <c r="I18" s="9">
        <f t="shared" si="14"/>
        <v>13505.7739306346</v>
      </c>
      <c r="J18" s="9">
        <f t="shared" si="14"/>
        <v>13331.6903397842</v>
      </c>
      <c r="K18" s="9">
        <f t="shared" si="14"/>
        <v>13196.7190362288</v>
      </c>
      <c r="L18" s="9">
        <f t="shared" si="14"/>
        <v>13033.528515408</v>
      </c>
      <c r="M18" s="9">
        <f t="shared" si="14"/>
        <v>12845.93602296</v>
      </c>
      <c r="N18" s="9">
        <f t="shared" si="14"/>
        <v>12628.863912</v>
      </c>
      <c r="O18" s="9">
        <f t="shared" si="14"/>
        <v>12451.404</v>
      </c>
      <c r="P18" s="9">
        <f>P17+(20%*P17)+210</f>
        <v>12271.2</v>
      </c>
      <c r="Q18" s="16">
        <v>12061.0</v>
      </c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5"/>
      <c r="AI18" s="5"/>
      <c r="AJ18" s="5"/>
      <c r="AK18" s="6"/>
      <c r="AL18" s="6"/>
    </row>
    <row r="19" spans="8:8" ht="36.0">
      <c r="A19" s="7">
        <v>1379.0</v>
      </c>
      <c r="B19" s="9">
        <f t="shared" si="15" ref="B19:P19">B18+(10%*B18)+2000+380</f>
        <v>18139.0990876794</v>
      </c>
      <c r="C19" s="9">
        <f t="shared" si="15"/>
        <v>18029.6751162877</v>
      </c>
      <c r="D19" s="9">
        <f t="shared" si="15"/>
        <v>18029.6751162877</v>
      </c>
      <c r="E19" s="9">
        <f t="shared" si="15"/>
        <v>17865.5391592002</v>
      </c>
      <c r="F19" s="9">
        <f t="shared" si="15"/>
        <v>17701.4032021127</v>
      </c>
      <c r="G19" s="9">
        <f t="shared" si="15"/>
        <v>17537.2672450252</v>
      </c>
      <c r="H19" s="9">
        <f t="shared" si="15"/>
        <v>17373.1312879377</v>
      </c>
      <c r="I19" s="9">
        <f t="shared" si="15"/>
        <v>17236.3513236981</v>
      </c>
      <c r="J19" s="9">
        <f t="shared" si="15"/>
        <v>17044.8593737626</v>
      </c>
      <c r="K19" s="9">
        <f t="shared" si="15"/>
        <v>16896.3909398517</v>
      </c>
      <c r="L19" s="9">
        <f t="shared" si="15"/>
        <v>16716.8813669488</v>
      </c>
      <c r="M19" s="9">
        <f t="shared" si="15"/>
        <v>16510.529625256</v>
      </c>
      <c r="N19" s="9">
        <f t="shared" si="15"/>
        <v>16271.7503032</v>
      </c>
      <c r="O19" s="9">
        <f t="shared" si="15"/>
        <v>16076.5444</v>
      </c>
      <c r="P19" s="9">
        <f t="shared" si="15"/>
        <v>15878.32</v>
      </c>
      <c r="Q19" s="9">
        <f>Q18+(10%*Q18)+2000+380</f>
        <v>15647.1</v>
      </c>
      <c r="R19" s="16">
        <v>15267.0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5"/>
      <c r="AI19" s="5"/>
      <c r="AJ19" s="5"/>
      <c r="AK19" s="6"/>
      <c r="AL19" s="6"/>
    </row>
    <row r="20" spans="8:8" ht="36.0">
      <c r="A20" s="7">
        <v>1380.0</v>
      </c>
      <c r="B20" s="9">
        <f t="shared" si="16" ref="B20:Q20">B19+(5%*B19)+2900+470</f>
        <v>22416.0540420634</v>
      </c>
      <c r="C20" s="9">
        <f t="shared" si="16"/>
        <v>22301.1588721021</v>
      </c>
      <c r="D20" s="9">
        <f t="shared" si="16"/>
        <v>22301.1588721021</v>
      </c>
      <c r="E20" s="9">
        <f t="shared" si="16"/>
        <v>22128.8161171602</v>
      </c>
      <c r="F20" s="9">
        <f t="shared" si="16"/>
        <v>21956.4733622183</v>
      </c>
      <c r="G20" s="9">
        <f t="shared" si="16"/>
        <v>21784.1306072765</v>
      </c>
      <c r="H20" s="9">
        <f t="shared" si="16"/>
        <v>21611.7878523346</v>
      </c>
      <c r="I20" s="9">
        <f t="shared" si="16"/>
        <v>21468.168889883</v>
      </c>
      <c r="J20" s="9">
        <f t="shared" si="16"/>
        <v>21267.1023424507</v>
      </c>
      <c r="K20" s="9">
        <f t="shared" si="16"/>
        <v>21111.2104868443</v>
      </c>
      <c r="L20" s="9">
        <f t="shared" si="16"/>
        <v>20922.7254352962</v>
      </c>
      <c r="M20" s="9">
        <f t="shared" si="16"/>
        <v>20706.0561065188</v>
      </c>
      <c r="N20" s="9">
        <f t="shared" si="16"/>
        <v>20455.33781836</v>
      </c>
      <c r="O20" s="9">
        <f t="shared" si="16"/>
        <v>20250.37162</v>
      </c>
      <c r="P20" s="9">
        <f t="shared" si="16"/>
        <v>20042.236</v>
      </c>
      <c r="Q20" s="9">
        <f t="shared" si="16"/>
        <v>19799.455</v>
      </c>
      <c r="R20" s="9">
        <f>R19+(5%*R19)+2900+470</f>
        <v>19400.35</v>
      </c>
      <c r="S20" s="16">
        <v>18930.0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5"/>
      <c r="AI20" s="5"/>
      <c r="AJ20" s="5"/>
      <c r="AK20" s="6"/>
      <c r="AL20" s="6"/>
    </row>
    <row r="21" spans="8:8" ht="36.0">
      <c r="A21" s="7">
        <v>1381.0</v>
      </c>
      <c r="B21" s="9">
        <f t="shared" si="17" ref="B21:R21">B20+(4.5%*B20)+3500+580</f>
        <v>27504.7764739563</v>
      </c>
      <c r="C21" s="9">
        <f t="shared" si="17"/>
        <v>27384.7110213467</v>
      </c>
      <c r="D21" s="9">
        <f t="shared" si="17"/>
        <v>27384.7110213467</v>
      </c>
      <c r="E21" s="9">
        <f t="shared" si="17"/>
        <v>27204.6128424324</v>
      </c>
      <c r="F21" s="9">
        <f t="shared" si="17"/>
        <v>27024.5146635181</v>
      </c>
      <c r="G21" s="9">
        <f t="shared" si="17"/>
        <v>26844.4164846039</v>
      </c>
      <c r="H21" s="9">
        <f t="shared" si="17"/>
        <v>26664.3183056897</v>
      </c>
      <c r="I21" s="9">
        <f t="shared" si="17"/>
        <v>26514.2364899277</v>
      </c>
      <c r="J21" s="9">
        <f t="shared" si="17"/>
        <v>26304.121947861</v>
      </c>
      <c r="K21" s="9">
        <f t="shared" si="17"/>
        <v>26141.2149587523</v>
      </c>
      <c r="L21" s="9">
        <f t="shared" si="17"/>
        <v>25944.2480798845</v>
      </c>
      <c r="M21" s="9">
        <f t="shared" si="17"/>
        <v>25717.8286313121</v>
      </c>
      <c r="N21" s="9">
        <f t="shared" si="17"/>
        <v>25455.8280201862</v>
      </c>
      <c r="O21" s="9">
        <f t="shared" si="17"/>
        <v>25241.6383429</v>
      </c>
      <c r="P21" s="9">
        <f t="shared" si="17"/>
        <v>25024.13662</v>
      </c>
      <c r="Q21" s="9">
        <f t="shared" si="17"/>
        <v>24770.430475</v>
      </c>
      <c r="R21" s="9">
        <f t="shared" si="17"/>
        <v>24353.36575</v>
      </c>
      <c r="S21" s="9">
        <f>S20+(4.5%*S20)+3500+580</f>
        <v>23861.85</v>
      </c>
      <c r="T21" s="16">
        <v>23282.0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5"/>
      <c r="AI21" s="5"/>
      <c r="AJ21" s="5"/>
      <c r="AK21" s="6"/>
      <c r="AL21" s="6"/>
    </row>
    <row r="22" spans="8:8" ht="36.0">
      <c r="A22" s="7">
        <v>1382.0</v>
      </c>
      <c r="B22" s="9">
        <f t="shared" si="18" ref="B22:S22">B21+(5%*B21)+4000+710</f>
        <v>33590.0152976541</v>
      </c>
      <c r="C22" s="9">
        <f t="shared" si="18"/>
        <v>33463.946572414</v>
      </c>
      <c r="D22" s="9">
        <f t="shared" si="18"/>
        <v>33463.946572414</v>
      </c>
      <c r="E22" s="9">
        <f t="shared" si="18"/>
        <v>33274.843484554</v>
      </c>
      <c r="F22" s="9">
        <f t="shared" si="18"/>
        <v>33085.740396694004</v>
      </c>
      <c r="G22" s="9">
        <f t="shared" si="18"/>
        <v>32896.6373088341</v>
      </c>
      <c r="H22" s="9">
        <f t="shared" si="18"/>
        <v>32707.5342209742</v>
      </c>
      <c r="I22" s="9">
        <f t="shared" si="18"/>
        <v>32549.9483144241</v>
      </c>
      <c r="J22" s="9">
        <f t="shared" si="18"/>
        <v>32329.3280452541</v>
      </c>
      <c r="K22" s="9">
        <f t="shared" si="18"/>
        <v>32158.2757066899</v>
      </c>
      <c r="L22" s="9">
        <f t="shared" si="18"/>
        <v>31951.4604838787</v>
      </c>
      <c r="M22" s="9">
        <f t="shared" si="18"/>
        <v>31713.7200628777</v>
      </c>
      <c r="N22" s="9">
        <f t="shared" si="18"/>
        <v>31438.6194211955</v>
      </c>
      <c r="O22" s="9">
        <f t="shared" si="18"/>
        <v>31213.720260045</v>
      </c>
      <c r="P22" s="9">
        <f t="shared" si="18"/>
        <v>30985.343451</v>
      </c>
      <c r="Q22" s="9">
        <f t="shared" si="18"/>
        <v>30718.95199875</v>
      </c>
      <c r="R22" s="9">
        <f t="shared" si="18"/>
        <v>30281.0340375</v>
      </c>
      <c r="S22" s="9">
        <f t="shared" si="18"/>
        <v>29764.9425</v>
      </c>
      <c r="T22" s="9">
        <f>T21+(5%*T21)+4000+710</f>
        <v>29156.1</v>
      </c>
      <c r="U22" s="13">
        <v>28446.0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5"/>
      <c r="AI22" s="5"/>
      <c r="AJ22" s="5"/>
      <c r="AK22" s="6"/>
      <c r="AL22" s="6"/>
    </row>
    <row r="23" spans="8:8" ht="36.0">
      <c r="A23" s="7">
        <v>1383.0</v>
      </c>
      <c r="B23" s="9">
        <f t="shared" si="19" ref="B23:T23">B22+7088+900</f>
        <v>41578.0152976541</v>
      </c>
      <c r="C23" s="9">
        <f t="shared" si="19"/>
        <v>41451.946572414</v>
      </c>
      <c r="D23" s="9">
        <f t="shared" si="19"/>
        <v>41451.946572414</v>
      </c>
      <c r="E23" s="9">
        <f t="shared" si="19"/>
        <v>41262.843484554</v>
      </c>
      <c r="F23" s="9">
        <f t="shared" si="19"/>
        <v>41073.740396694</v>
      </c>
      <c r="G23" s="9">
        <f t="shared" si="19"/>
        <v>40884.6373088341</v>
      </c>
      <c r="H23" s="9">
        <f t="shared" si="19"/>
        <v>40695.5342209742</v>
      </c>
      <c r="I23" s="9">
        <f t="shared" si="19"/>
        <v>40537.9483144241</v>
      </c>
      <c r="J23" s="9">
        <f t="shared" si="19"/>
        <v>40317.3280452541</v>
      </c>
      <c r="K23" s="9">
        <f t="shared" si="19"/>
        <v>40146.2757066899</v>
      </c>
      <c r="L23" s="9">
        <f t="shared" si="19"/>
        <v>39939.4604838787</v>
      </c>
      <c r="M23" s="9">
        <f t="shared" si="19"/>
        <v>39701.7200628777</v>
      </c>
      <c r="N23" s="9">
        <f t="shared" si="19"/>
        <v>39426.6194211955</v>
      </c>
      <c r="O23" s="9">
        <f t="shared" si="19"/>
        <v>39201.720260045</v>
      </c>
      <c r="P23" s="9">
        <f t="shared" si="19"/>
        <v>38973.343451</v>
      </c>
      <c r="Q23" s="9">
        <f t="shared" si="19"/>
        <v>38706.95199875</v>
      </c>
      <c r="R23" s="9">
        <f t="shared" si="19"/>
        <v>38269.0340375</v>
      </c>
      <c r="S23" s="9">
        <f t="shared" si="19"/>
        <v>37752.9425</v>
      </c>
      <c r="T23" s="9">
        <f t="shared" si="19"/>
        <v>37144.1</v>
      </c>
      <c r="U23" s="9">
        <f>U22+7088+900</f>
        <v>36434.0</v>
      </c>
      <c r="V23" s="13">
        <v>35534.0</v>
      </c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5"/>
      <c r="AI23" s="5"/>
      <c r="AJ23" s="5"/>
      <c r="AK23" s="6"/>
      <c r="AL23" s="6"/>
    </row>
    <row r="24" spans="8:8" ht="36.0">
      <c r="A24" s="7">
        <v>1384.0</v>
      </c>
      <c r="B24" s="9">
        <f t="shared" si="20" ref="B24:U24">B23+5330+1020</f>
        <v>47928.0152976541</v>
      </c>
      <c r="C24" s="9">
        <f t="shared" si="20"/>
        <v>47801.946572414</v>
      </c>
      <c r="D24" s="9">
        <f t="shared" si="20"/>
        <v>47801.946572414</v>
      </c>
      <c r="E24" s="9">
        <f t="shared" si="20"/>
        <v>47612.843484554</v>
      </c>
      <c r="F24" s="9">
        <f t="shared" si="20"/>
        <v>47423.740396694</v>
      </c>
      <c r="G24" s="9">
        <f t="shared" si="20"/>
        <v>47234.6373088341</v>
      </c>
      <c r="H24" s="9">
        <f t="shared" si="20"/>
        <v>47045.5342209742</v>
      </c>
      <c r="I24" s="9">
        <f t="shared" si="20"/>
        <v>46887.9483144241</v>
      </c>
      <c r="J24" s="9">
        <f t="shared" si="20"/>
        <v>46667.3280452541</v>
      </c>
      <c r="K24" s="9">
        <f t="shared" si="20"/>
        <v>46496.2757066899</v>
      </c>
      <c r="L24" s="9">
        <f t="shared" si="20"/>
        <v>46289.4604838787</v>
      </c>
      <c r="M24" s="9">
        <f t="shared" si="20"/>
        <v>46051.7200628777</v>
      </c>
      <c r="N24" s="9">
        <f t="shared" si="20"/>
        <v>45776.6194211955</v>
      </c>
      <c r="O24" s="9">
        <f t="shared" si="20"/>
        <v>45551.720260045</v>
      </c>
      <c r="P24" s="9">
        <f t="shared" si="20"/>
        <v>45323.343451</v>
      </c>
      <c r="Q24" s="9">
        <f t="shared" si="20"/>
        <v>45056.95199875</v>
      </c>
      <c r="R24" s="9">
        <f t="shared" si="20"/>
        <v>44619.0340375</v>
      </c>
      <c r="S24" s="9">
        <f t="shared" si="20"/>
        <v>44102.9425</v>
      </c>
      <c r="T24" s="9">
        <f t="shared" si="20"/>
        <v>43494.1</v>
      </c>
      <c r="U24" s="9">
        <f t="shared" si="20"/>
        <v>42784.0</v>
      </c>
      <c r="V24" s="9">
        <f>V23+5330+1020</f>
        <v>41884.0</v>
      </c>
      <c r="W24" s="13">
        <v>40864.0</v>
      </c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5"/>
      <c r="AI24" s="5"/>
      <c r="AJ24" s="5"/>
      <c r="AK24" s="6"/>
      <c r="AL24" s="6"/>
    </row>
    <row r="25" spans="8:8" ht="36.0">
      <c r="A25" s="7">
        <v>1385.0</v>
      </c>
      <c r="B25" s="9">
        <f t="shared" si="21" ref="B25:V25">B24+(10%*B24)+5000+1250</f>
        <v>58970.8168274195</v>
      </c>
      <c r="C25" s="9">
        <f t="shared" si="21"/>
        <v>58832.1412296554</v>
      </c>
      <c r="D25" s="9">
        <f t="shared" si="21"/>
        <v>58832.1412296554</v>
      </c>
      <c r="E25" s="9">
        <f t="shared" si="21"/>
        <v>58624.1278330094</v>
      </c>
      <c r="F25" s="9">
        <f t="shared" si="21"/>
        <v>58416.1144363634</v>
      </c>
      <c r="G25" s="9">
        <f t="shared" si="21"/>
        <v>58208.1010397175</v>
      </c>
      <c r="H25" s="9">
        <f t="shared" si="21"/>
        <v>58000.0876430716</v>
      </c>
      <c r="I25" s="9">
        <f t="shared" si="21"/>
        <v>57826.7431458665</v>
      </c>
      <c r="J25" s="9">
        <f t="shared" si="21"/>
        <v>57584.0608497795</v>
      </c>
      <c r="K25" s="9">
        <f t="shared" si="21"/>
        <v>57395.9032773589</v>
      </c>
      <c r="L25" s="9">
        <f t="shared" si="21"/>
        <v>57168.4065322666</v>
      </c>
      <c r="M25" s="9">
        <f t="shared" si="21"/>
        <v>56906.8920691655</v>
      </c>
      <c r="N25" s="9">
        <f t="shared" si="21"/>
        <v>56604.2813633151</v>
      </c>
      <c r="O25" s="9">
        <f t="shared" si="21"/>
        <v>56356.8922860495</v>
      </c>
      <c r="P25" s="9">
        <f t="shared" si="21"/>
        <v>56105.6777961</v>
      </c>
      <c r="Q25" s="9">
        <f t="shared" si="21"/>
        <v>55812.647198625</v>
      </c>
      <c r="R25" s="9">
        <f t="shared" si="21"/>
        <v>55330.93744125</v>
      </c>
      <c r="S25" s="9">
        <f t="shared" si="21"/>
        <v>54763.23675</v>
      </c>
      <c r="T25" s="9">
        <f t="shared" si="21"/>
        <v>54093.51</v>
      </c>
      <c r="U25" s="9">
        <f t="shared" si="21"/>
        <v>53312.4</v>
      </c>
      <c r="V25" s="9">
        <f t="shared" si="21"/>
        <v>52322.4</v>
      </c>
      <c r="W25" s="9">
        <f>W24+(10%*W24)+5000+1250</f>
        <v>51200.4</v>
      </c>
      <c r="X25" s="13">
        <v>50000.0</v>
      </c>
      <c r="Y25" s="14"/>
      <c r="Z25" s="14"/>
      <c r="AA25" s="14"/>
      <c r="AB25" s="14"/>
      <c r="AC25" s="14"/>
      <c r="AD25" s="14"/>
      <c r="AE25" s="14"/>
      <c r="AF25" s="14"/>
      <c r="AG25" s="14"/>
      <c r="AH25" s="5"/>
      <c r="AI25" s="5"/>
      <c r="AJ25" s="5"/>
      <c r="AK25" s="6"/>
      <c r="AL25" s="6"/>
    </row>
    <row r="26" spans="8:8" ht="36.0">
      <c r="A26" s="7">
        <v>1386.0</v>
      </c>
      <c r="B26" s="9">
        <f t="shared" si="22" ref="B26:Q26">B25+(10%*B25)+1250</f>
        <v>66117.89851016141</v>
      </c>
      <c r="C26" s="9">
        <f t="shared" si="22"/>
        <v>65965.3553526209</v>
      </c>
      <c r="D26" s="9">
        <f t="shared" si="22"/>
        <v>65965.3553526209</v>
      </c>
      <c r="E26" s="9">
        <f t="shared" si="22"/>
        <v>65736.5406163103</v>
      </c>
      <c r="F26" s="9">
        <f t="shared" si="22"/>
        <v>65507.7258799997</v>
      </c>
      <c r="G26" s="9">
        <f t="shared" si="22"/>
        <v>65278.9111436893</v>
      </c>
      <c r="H26" s="9">
        <f t="shared" si="22"/>
        <v>65050.0964073788</v>
      </c>
      <c r="I26" s="9">
        <f t="shared" si="22"/>
        <v>64859.4174604532</v>
      </c>
      <c r="J26" s="9">
        <f t="shared" si="22"/>
        <v>64592.4669347574</v>
      </c>
      <c r="K26" s="9">
        <f t="shared" si="22"/>
        <v>64385.4936050948</v>
      </c>
      <c r="L26" s="9">
        <f t="shared" si="22"/>
        <v>64135.2471854933</v>
      </c>
      <c r="M26" s="9">
        <f t="shared" si="22"/>
        <v>63847.5812760821</v>
      </c>
      <c r="N26" s="9">
        <f t="shared" si="22"/>
        <v>63514.7094996466</v>
      </c>
      <c r="O26" s="9">
        <f t="shared" si="22"/>
        <v>63242.5815146545</v>
      </c>
      <c r="P26" s="9">
        <f t="shared" si="22"/>
        <v>62966.24557571</v>
      </c>
      <c r="Q26" s="9">
        <f t="shared" si="22"/>
        <v>62643.9119184875</v>
      </c>
      <c r="R26" s="9">
        <f>Y26+1250</f>
        <v>62250.0</v>
      </c>
      <c r="S26" s="9">
        <f>Y26+1250</f>
        <v>62250.0</v>
      </c>
      <c r="T26" s="9">
        <f>Y26+1250</f>
        <v>62250.0</v>
      </c>
      <c r="U26" s="9">
        <f>Y26+1250</f>
        <v>62250.0</v>
      </c>
      <c r="V26" s="9">
        <f>Y26+1250</f>
        <v>62250.0</v>
      </c>
      <c r="W26" s="9">
        <f>Y26+1250</f>
        <v>62250.0</v>
      </c>
      <c r="X26" s="9">
        <f>Y26+1250</f>
        <v>62250.0</v>
      </c>
      <c r="Y26" s="13">
        <v>61000.0</v>
      </c>
      <c r="Z26" s="14"/>
      <c r="AA26" s="14"/>
      <c r="AB26" s="14"/>
      <c r="AC26" s="14"/>
      <c r="AD26" s="14"/>
      <c r="AE26" s="14"/>
      <c r="AF26" s="14"/>
      <c r="AG26" s="14"/>
      <c r="AH26" s="5"/>
      <c r="AI26" s="5"/>
      <c r="AJ26" s="5"/>
      <c r="AK26" s="6"/>
      <c r="AL26" s="6"/>
    </row>
    <row r="27" spans="8:8" ht="36.0">
      <c r="A27" s="7">
        <v>1387.0</v>
      </c>
      <c r="B27" s="9">
        <f t="shared" si="23" ref="B27:X27">B26+(5%*B26)+9150+1250</f>
        <v>79823.7934356695</v>
      </c>
      <c r="C27" s="9">
        <f t="shared" si="23"/>
        <v>79663.6231202519</v>
      </c>
      <c r="D27" s="9">
        <f t="shared" si="23"/>
        <v>79663.6231202519</v>
      </c>
      <c r="E27" s="9">
        <f t="shared" si="23"/>
        <v>79423.3676471258</v>
      </c>
      <c r="F27" s="9">
        <f t="shared" si="23"/>
        <v>79183.1121739997</v>
      </c>
      <c r="G27" s="9">
        <f t="shared" si="23"/>
        <v>78942.8567008738</v>
      </c>
      <c r="H27" s="9">
        <f t="shared" si="23"/>
        <v>78702.6012277477</v>
      </c>
      <c r="I27" s="9">
        <f t="shared" si="23"/>
        <v>78502.3883334759</v>
      </c>
      <c r="J27" s="9">
        <f t="shared" si="23"/>
        <v>78222.0902814953</v>
      </c>
      <c r="K27" s="9">
        <f t="shared" si="23"/>
        <v>78004.7682853495</v>
      </c>
      <c r="L27" s="9">
        <f t="shared" si="23"/>
        <v>77742.009544768</v>
      </c>
      <c r="M27" s="9">
        <f t="shared" si="23"/>
        <v>77439.9603398862</v>
      </c>
      <c r="N27" s="9">
        <f t="shared" si="23"/>
        <v>77090.4449746289</v>
      </c>
      <c r="O27" s="9">
        <f t="shared" si="23"/>
        <v>76804.7105903872</v>
      </c>
      <c r="P27" s="9">
        <f t="shared" si="23"/>
        <v>76514.5578544955</v>
      </c>
      <c r="Q27" s="9">
        <f t="shared" si="23"/>
        <v>76176.1075144119</v>
      </c>
      <c r="R27" s="9">
        <f t="shared" si="23"/>
        <v>75762.5</v>
      </c>
      <c r="S27" s="9">
        <f t="shared" si="23"/>
        <v>75762.5</v>
      </c>
      <c r="T27" s="9">
        <f t="shared" si="23"/>
        <v>75762.5</v>
      </c>
      <c r="U27" s="9">
        <f t="shared" si="23"/>
        <v>75762.5</v>
      </c>
      <c r="V27" s="9">
        <f t="shared" si="23"/>
        <v>75762.5</v>
      </c>
      <c r="W27" s="9">
        <f t="shared" si="23"/>
        <v>75762.5</v>
      </c>
      <c r="X27" s="9">
        <f t="shared" si="23"/>
        <v>75762.5</v>
      </c>
      <c r="Y27" s="9">
        <f>Y26+(5%*Y26)+9150+1250</f>
        <v>74450.0</v>
      </c>
      <c r="Z27" s="13">
        <v>73200.0</v>
      </c>
      <c r="AA27" s="14"/>
      <c r="AB27" s="14"/>
      <c r="AC27" s="14"/>
      <c r="AD27" s="14"/>
      <c r="AE27" s="14"/>
      <c r="AF27" s="14"/>
      <c r="AG27" s="14"/>
      <c r="AH27" s="5"/>
      <c r="AI27" s="5"/>
      <c r="AJ27" s="5"/>
      <c r="AK27" s="6"/>
      <c r="AL27" s="6"/>
    </row>
    <row r="28" spans="8:8" ht="36.0">
      <c r="A28" s="7">
        <v>1388.0</v>
      </c>
      <c r="B28" s="9">
        <f t="shared" si="24" ref="B28:Y28">B27+(5%*B27)+10980+1250</f>
        <v>96044.983107453</v>
      </c>
      <c r="C28" s="9">
        <f t="shared" si="24"/>
        <v>95876.8042762645</v>
      </c>
      <c r="D28" s="9">
        <f t="shared" si="24"/>
        <v>95876.8042762645</v>
      </c>
      <c r="E28" s="9">
        <f t="shared" si="24"/>
        <v>95624.5360294821</v>
      </c>
      <c r="F28" s="9">
        <f t="shared" si="24"/>
        <v>95372.2677826997</v>
      </c>
      <c r="G28" s="9">
        <f t="shared" si="24"/>
        <v>95119.9995359175</v>
      </c>
      <c r="H28" s="9">
        <f t="shared" si="24"/>
        <v>94867.7312891351</v>
      </c>
      <c r="I28" s="9">
        <f t="shared" si="24"/>
        <v>94657.5077501497</v>
      </c>
      <c r="J28" s="9">
        <f t="shared" si="24"/>
        <v>94363.1947955701</v>
      </c>
      <c r="K28" s="9">
        <f t="shared" si="24"/>
        <v>94135.006699617</v>
      </c>
      <c r="L28" s="9">
        <f t="shared" si="24"/>
        <v>93859.1100220064</v>
      </c>
      <c r="M28" s="9">
        <f t="shared" si="24"/>
        <v>93541.9583568805</v>
      </c>
      <c r="N28" s="9">
        <f t="shared" si="24"/>
        <v>93174.9672233604</v>
      </c>
      <c r="O28" s="9">
        <f t="shared" si="24"/>
        <v>92874.9461199066</v>
      </c>
      <c r="P28" s="9">
        <f t="shared" si="24"/>
        <v>92570.2857472203</v>
      </c>
      <c r="Q28" s="9">
        <f t="shared" si="24"/>
        <v>92214.9128901325</v>
      </c>
      <c r="R28" s="9">
        <f t="shared" si="24"/>
        <v>91780.625</v>
      </c>
      <c r="S28" s="9">
        <f t="shared" si="24"/>
        <v>91780.625</v>
      </c>
      <c r="T28" s="9">
        <f t="shared" si="24"/>
        <v>91780.625</v>
      </c>
      <c r="U28" s="9">
        <f t="shared" si="24"/>
        <v>91780.625</v>
      </c>
      <c r="V28" s="9">
        <f t="shared" si="24"/>
        <v>91780.625</v>
      </c>
      <c r="W28" s="9">
        <f t="shared" si="24"/>
        <v>91780.625</v>
      </c>
      <c r="X28" s="9">
        <f t="shared" si="24"/>
        <v>91780.625</v>
      </c>
      <c r="Y28" s="9">
        <f t="shared" si="24"/>
        <v>90402.5</v>
      </c>
      <c r="Z28" s="9">
        <f>Z27+(5%*Z27)+10980+1250</f>
        <v>89090.0</v>
      </c>
      <c r="AA28" s="13">
        <v>87840.0</v>
      </c>
      <c r="AB28" s="14"/>
      <c r="AC28" s="14"/>
      <c r="AD28" s="14"/>
      <c r="AE28" s="14"/>
      <c r="AF28" s="14"/>
      <c r="AG28" s="14"/>
      <c r="AH28" s="5"/>
      <c r="AI28" s="5"/>
      <c r="AJ28" s="5"/>
      <c r="AK28" s="6"/>
      <c r="AL28" s="6"/>
    </row>
    <row r="29" spans="8:8" ht="36.0">
      <c r="A29" s="7">
        <v>1389.0</v>
      </c>
      <c r="B29" s="9">
        <f t="shared" si="25" ref="B29:Z29">(7%*B28)+B28+7011+2000</f>
        <v>111779.131924975</v>
      </c>
      <c r="C29" s="9">
        <f t="shared" si="25"/>
        <v>111599.180575603</v>
      </c>
      <c r="D29" s="9">
        <f t="shared" si="25"/>
        <v>111599.180575603</v>
      </c>
      <c r="E29" s="9">
        <f t="shared" si="25"/>
        <v>111329.253551546</v>
      </c>
      <c r="F29" s="9">
        <f t="shared" si="25"/>
        <v>111059.326527489</v>
      </c>
      <c r="G29" s="9">
        <f t="shared" si="25"/>
        <v>110789.399503432</v>
      </c>
      <c r="H29" s="9">
        <f t="shared" si="25"/>
        <v>110519.472479375</v>
      </c>
      <c r="I29" s="9">
        <f t="shared" si="25"/>
        <v>110294.53329266</v>
      </c>
      <c r="J29" s="9">
        <f t="shared" si="25"/>
        <v>109979.61843126</v>
      </c>
      <c r="K29" s="9">
        <f t="shared" si="25"/>
        <v>109735.45716859</v>
      </c>
      <c r="L29" s="9">
        <f t="shared" si="25"/>
        <v>109440.247723547</v>
      </c>
      <c r="M29" s="9">
        <f t="shared" si="25"/>
        <v>109100.895441862</v>
      </c>
      <c r="N29" s="9">
        <f t="shared" si="25"/>
        <v>108708.214928996</v>
      </c>
      <c r="O29" s="9">
        <f t="shared" si="25"/>
        <v>108387.1923483</v>
      </c>
      <c r="P29" s="9">
        <f t="shared" si="25"/>
        <v>108061.205749526</v>
      </c>
      <c r="Q29" s="9">
        <f t="shared" si="25"/>
        <v>107680.956792442</v>
      </c>
      <c r="R29" s="9">
        <f t="shared" si="25"/>
        <v>107216.26875</v>
      </c>
      <c r="S29" s="9">
        <f t="shared" si="25"/>
        <v>107216.26875</v>
      </c>
      <c r="T29" s="9">
        <f t="shared" si="25"/>
        <v>107216.26875</v>
      </c>
      <c r="U29" s="9">
        <f t="shared" si="25"/>
        <v>107216.26875</v>
      </c>
      <c r="V29" s="9">
        <f t="shared" si="25"/>
        <v>107216.26875</v>
      </c>
      <c r="W29" s="9">
        <f t="shared" si="25"/>
        <v>107216.26875</v>
      </c>
      <c r="X29" s="9">
        <f t="shared" si="25"/>
        <v>107216.26875</v>
      </c>
      <c r="Y29" s="9">
        <f t="shared" si="25"/>
        <v>105741.675</v>
      </c>
      <c r="Z29" s="9">
        <f t="shared" si="25"/>
        <v>104337.3</v>
      </c>
      <c r="AA29" s="9">
        <f>(7%*AA28)+AA28+7011+2000</f>
        <v>102999.8</v>
      </c>
      <c r="AB29" s="13">
        <v>101000.0</v>
      </c>
      <c r="AC29" s="14"/>
      <c r="AD29" s="14"/>
      <c r="AE29" s="14"/>
      <c r="AF29" s="14"/>
      <c r="AG29" s="14"/>
      <c r="AH29" s="5"/>
      <c r="AI29" s="5"/>
      <c r="AJ29" s="5"/>
      <c r="AK29" s="6"/>
      <c r="AL29" s="6"/>
    </row>
    <row r="30" spans="8:8" ht="36.0">
      <c r="A30" s="7">
        <v>1390.0</v>
      </c>
      <c r="B30" s="9">
        <f t="shared" si="26" ref="B30:Y30">(6%*B29)+B29+3040+2000</f>
        <v>123525.879840474</v>
      </c>
      <c r="C30" s="9">
        <f t="shared" si="26"/>
        <v>123335.131410139</v>
      </c>
      <c r="D30" s="9">
        <f t="shared" si="26"/>
        <v>123335.131410139</v>
      </c>
      <c r="E30" s="9">
        <f t="shared" si="26"/>
        <v>123049.008764639</v>
      </c>
      <c r="F30" s="9">
        <f t="shared" si="26"/>
        <v>122762.886119138</v>
      </c>
      <c r="G30" s="9">
        <f t="shared" si="26"/>
        <v>122476.763473638</v>
      </c>
      <c r="H30" s="9">
        <f t="shared" si="26"/>
        <v>122190.640828138</v>
      </c>
      <c r="I30" s="9">
        <f t="shared" si="26"/>
        <v>121952.20529022</v>
      </c>
      <c r="J30" s="9">
        <f t="shared" si="26"/>
        <v>121618.395537136</v>
      </c>
      <c r="K30" s="9">
        <f t="shared" si="26"/>
        <v>121359.584598705</v>
      </c>
      <c r="L30" s="9">
        <f t="shared" si="26"/>
        <v>121046.66258696</v>
      </c>
      <c r="M30" s="9">
        <f t="shared" si="26"/>
        <v>120686.949168374</v>
      </c>
      <c r="N30" s="9">
        <f t="shared" si="26"/>
        <v>120270.707824736</v>
      </c>
      <c r="O30" s="9">
        <f t="shared" si="26"/>
        <v>119930.423889198</v>
      </c>
      <c r="P30" s="9">
        <f t="shared" si="26"/>
        <v>119584.878094498</v>
      </c>
      <c r="Q30" s="9">
        <f t="shared" si="26"/>
        <v>119181.814199989</v>
      </c>
      <c r="R30" s="9">
        <f t="shared" si="26"/>
        <v>118689.244875</v>
      </c>
      <c r="S30" s="9">
        <f t="shared" si="26"/>
        <v>118689.244875</v>
      </c>
      <c r="T30" s="9">
        <f t="shared" si="26"/>
        <v>118689.244875</v>
      </c>
      <c r="U30" s="9">
        <f t="shared" si="26"/>
        <v>118689.244875</v>
      </c>
      <c r="V30" s="9">
        <f t="shared" si="26"/>
        <v>118689.244875</v>
      </c>
      <c r="W30" s="9">
        <f t="shared" si="26"/>
        <v>118689.244875</v>
      </c>
      <c r="X30" s="9">
        <f t="shared" si="26"/>
        <v>118689.244875</v>
      </c>
      <c r="Y30" s="9">
        <f t="shared" si="26"/>
        <v>117126.1755</v>
      </c>
      <c r="Z30" s="9">
        <f>(6%*Z29)+Z29+3040+2000</f>
        <v>115637.538</v>
      </c>
      <c r="AA30" s="9">
        <f>(6%*AA29)+AA29+3040+2000</f>
        <v>114219.788</v>
      </c>
      <c r="AB30" s="9">
        <f>(6%*AB29)+AB29+3040+2000</f>
        <v>112100.0</v>
      </c>
      <c r="AC30" s="17">
        <v>110100.0</v>
      </c>
      <c r="AD30" s="14"/>
      <c r="AE30" s="14"/>
      <c r="AF30" s="14"/>
      <c r="AG30" s="14"/>
      <c r="AH30" s="5"/>
      <c r="AI30" s="5"/>
      <c r="AJ30" s="5"/>
      <c r="AK30" s="6"/>
      <c r="AL30" s="6"/>
    </row>
    <row r="31" spans="8:8" ht="36.0">
      <c r="A31" s="7">
        <v>1391.0</v>
      </c>
      <c r="B31" s="9">
        <f t="shared" si="27" ref="B31:AC31">(7%*B30)+B30+12093+2500</f>
        <v>146765.691429307</v>
      </c>
      <c r="C31" s="9">
        <f t="shared" si="27"/>
        <v>146561.590608849</v>
      </c>
      <c r="D31" s="9">
        <f t="shared" si="27"/>
        <v>146561.590608849</v>
      </c>
      <c r="E31" s="9">
        <f t="shared" si="27"/>
        <v>146255.439378164</v>
      </c>
      <c r="F31" s="9">
        <f t="shared" si="27"/>
        <v>145949.288147478</v>
      </c>
      <c r="G31" s="9">
        <f t="shared" si="27"/>
        <v>145643.136916793</v>
      </c>
      <c r="H31" s="9">
        <f t="shared" si="27"/>
        <v>145336.985686108</v>
      </c>
      <c r="I31" s="9">
        <f t="shared" si="27"/>
        <v>145081.859660535</v>
      </c>
      <c r="J31" s="9">
        <f t="shared" si="27"/>
        <v>144724.683224736</v>
      </c>
      <c r="K31" s="9">
        <f t="shared" si="27"/>
        <v>144447.755520614</v>
      </c>
      <c r="L31" s="9">
        <f t="shared" si="27"/>
        <v>144112.928968047</v>
      </c>
      <c r="M31" s="9">
        <f t="shared" si="27"/>
        <v>143728.03561016</v>
      </c>
      <c r="N31" s="9">
        <f t="shared" si="27"/>
        <v>143282.657372468</v>
      </c>
      <c r="O31" s="9">
        <f t="shared" si="27"/>
        <v>142918.553561442</v>
      </c>
      <c r="P31" s="9">
        <f t="shared" si="27"/>
        <v>142548.819561113</v>
      </c>
      <c r="Q31" s="9">
        <f t="shared" si="27"/>
        <v>142117.541193988</v>
      </c>
      <c r="R31" s="9">
        <f t="shared" si="27"/>
        <v>141590.49201625</v>
      </c>
      <c r="S31" s="9">
        <f t="shared" si="27"/>
        <v>141590.49201625</v>
      </c>
      <c r="T31" s="9">
        <f t="shared" si="27"/>
        <v>141590.49201625</v>
      </c>
      <c r="U31" s="9">
        <f t="shared" si="27"/>
        <v>141590.49201625</v>
      </c>
      <c r="V31" s="9">
        <f t="shared" si="27"/>
        <v>141590.49201625</v>
      </c>
      <c r="W31" s="9">
        <f t="shared" si="27"/>
        <v>141590.49201625</v>
      </c>
      <c r="X31" s="9">
        <f t="shared" si="27"/>
        <v>141590.49201625</v>
      </c>
      <c r="Y31" s="9">
        <f t="shared" si="27"/>
        <v>139918.007785</v>
      </c>
      <c r="Z31" s="9">
        <f t="shared" si="27"/>
        <v>138325.16566</v>
      </c>
      <c r="AA31" s="9">
        <f t="shared" si="27"/>
        <v>136808.17316</v>
      </c>
      <c r="AB31" s="9">
        <f t="shared" si="27"/>
        <v>134540.0</v>
      </c>
      <c r="AC31" s="9">
        <f t="shared" si="27"/>
        <v>132400.0</v>
      </c>
      <c r="AD31" s="17">
        <v>129900.0</v>
      </c>
      <c r="AE31" s="14"/>
      <c r="AF31" s="14"/>
      <c r="AG31" s="14"/>
      <c r="AH31" s="5"/>
      <c r="AI31" s="5"/>
      <c r="AJ31" s="5"/>
      <c r="AK31" s="6"/>
      <c r="AL31" s="6"/>
    </row>
    <row r="32" spans="8:8" ht="36.0">
      <c r="A32" s="7">
        <v>1392.0</v>
      </c>
      <c r="B32" s="9">
        <f t="shared" si="28" ref="B32:AB32">(10%*B31)+B31+19485+3000</f>
        <v>183927.260572238</v>
      </c>
      <c r="C32" s="9">
        <f t="shared" si="28"/>
        <v>183702.749669734</v>
      </c>
      <c r="D32" s="9">
        <f t="shared" si="28"/>
        <v>183702.749669734</v>
      </c>
      <c r="E32" s="9">
        <f t="shared" si="28"/>
        <v>183365.98331598</v>
      </c>
      <c r="F32" s="9">
        <f t="shared" si="28"/>
        <v>183029.216962226</v>
      </c>
      <c r="G32" s="9">
        <f t="shared" si="28"/>
        <v>182692.450608472</v>
      </c>
      <c r="H32" s="9">
        <f t="shared" si="28"/>
        <v>182355.684254719</v>
      </c>
      <c r="I32" s="9">
        <f t="shared" si="28"/>
        <v>182075.045626589</v>
      </c>
      <c r="J32" s="9">
        <f t="shared" si="28"/>
        <v>181682.15154721</v>
      </c>
      <c r="K32" s="9">
        <f t="shared" si="28"/>
        <v>181377.531072675</v>
      </c>
      <c r="L32" s="9">
        <f t="shared" si="28"/>
        <v>181009.221864852</v>
      </c>
      <c r="M32" s="9">
        <f t="shared" si="28"/>
        <v>180585.839171176</v>
      </c>
      <c r="N32" s="9">
        <f t="shared" si="28"/>
        <v>180095.923109715</v>
      </c>
      <c r="O32" s="9">
        <f t="shared" si="28"/>
        <v>179695.408917586</v>
      </c>
      <c r="P32" s="9">
        <f t="shared" si="28"/>
        <v>179288.701517224</v>
      </c>
      <c r="Q32" s="9">
        <f t="shared" si="28"/>
        <v>178814.295313387</v>
      </c>
      <c r="R32" s="9">
        <f t="shared" si="28"/>
        <v>178234.541217875</v>
      </c>
      <c r="S32" s="9">
        <f t="shared" si="28"/>
        <v>178234.541217875</v>
      </c>
      <c r="T32" s="9">
        <f t="shared" si="28"/>
        <v>178234.541217875</v>
      </c>
      <c r="U32" s="9">
        <f t="shared" si="28"/>
        <v>178234.541217875</v>
      </c>
      <c r="V32" s="9">
        <f t="shared" si="28"/>
        <v>178234.541217875</v>
      </c>
      <c r="W32" s="9">
        <f t="shared" si="28"/>
        <v>178234.541217875</v>
      </c>
      <c r="X32" s="9">
        <f t="shared" si="28"/>
        <v>178234.541217875</v>
      </c>
      <c r="Y32" s="9">
        <f t="shared" si="28"/>
        <v>176394.8085635</v>
      </c>
      <c r="Z32" s="9">
        <f t="shared" si="28"/>
        <v>174642.682226</v>
      </c>
      <c r="AA32" s="9">
        <f t="shared" si="28"/>
        <v>172973.990476</v>
      </c>
      <c r="AB32" s="9">
        <f t="shared" si="28"/>
        <v>170479.0</v>
      </c>
      <c r="AC32" s="9">
        <f>(10%*AC31)+AC31+19485+3000</f>
        <v>168125.0</v>
      </c>
      <c r="AD32" s="9">
        <f>(10%*AD31)+AD31+19485+3000</f>
        <v>165375.0</v>
      </c>
      <c r="AE32" s="17">
        <v>162375.0</v>
      </c>
      <c r="AF32" s="14"/>
      <c r="AG32" s="14"/>
      <c r="AH32" s="5"/>
      <c r="AI32" s="5"/>
      <c r="AJ32" s="5"/>
      <c r="AK32" s="6"/>
      <c r="AL32" s="6"/>
    </row>
    <row r="33" spans="8:8" ht="36.0">
      <c r="A33" s="7">
        <v>1393.0</v>
      </c>
      <c r="B33" s="9">
        <f t="shared" si="29" ref="B33:AB33">(12%*B32)+B32+21110+5000</f>
        <v>232108.531840907</v>
      </c>
      <c r="C33" s="9">
        <f t="shared" si="29"/>
        <v>231857.079630102</v>
      </c>
      <c r="D33" s="9">
        <f t="shared" si="29"/>
        <v>231857.079630102</v>
      </c>
      <c r="E33" s="9">
        <f t="shared" si="29"/>
        <v>231479.901313898</v>
      </c>
      <c r="F33" s="9">
        <f t="shared" si="29"/>
        <v>231102.722997693</v>
      </c>
      <c r="G33" s="9">
        <f t="shared" si="29"/>
        <v>230725.544681489</v>
      </c>
      <c r="H33" s="9">
        <f t="shared" si="29"/>
        <v>230348.366365285</v>
      </c>
      <c r="I33" s="9">
        <f t="shared" si="29"/>
        <v>230034.05110178</v>
      </c>
      <c r="J33" s="9">
        <f t="shared" si="29"/>
        <v>229594.009732875</v>
      </c>
      <c r="K33" s="9">
        <f t="shared" si="29"/>
        <v>229252.834801396</v>
      </c>
      <c r="L33" s="9">
        <f t="shared" si="29"/>
        <v>228840.328488634</v>
      </c>
      <c r="M33" s="9">
        <f t="shared" si="29"/>
        <v>228366.139871717</v>
      </c>
      <c r="N33" s="9">
        <f t="shared" si="29"/>
        <v>227817.433882881</v>
      </c>
      <c r="O33" s="9">
        <f t="shared" si="29"/>
        <v>227368.857987696</v>
      </c>
      <c r="P33" s="9">
        <f t="shared" si="29"/>
        <v>226913.345699291</v>
      </c>
      <c r="Q33" s="9">
        <f t="shared" si="29"/>
        <v>226382.010750993</v>
      </c>
      <c r="R33" s="9">
        <f t="shared" si="29"/>
        <v>225732.68616402</v>
      </c>
      <c r="S33" s="9">
        <f t="shared" si="29"/>
        <v>225732.68616402</v>
      </c>
      <c r="T33" s="9">
        <f t="shared" si="29"/>
        <v>225732.68616402</v>
      </c>
      <c r="U33" s="9">
        <f t="shared" si="29"/>
        <v>225732.68616402</v>
      </c>
      <c r="V33" s="9">
        <f t="shared" si="29"/>
        <v>225732.68616402</v>
      </c>
      <c r="W33" s="9">
        <f t="shared" si="29"/>
        <v>225732.68616402</v>
      </c>
      <c r="X33" s="9">
        <f t="shared" si="29"/>
        <v>225732.68616402</v>
      </c>
      <c r="Y33" s="9">
        <f t="shared" si="29"/>
        <v>223672.18559112</v>
      </c>
      <c r="Z33" s="9">
        <f t="shared" si="29"/>
        <v>221709.80409312</v>
      </c>
      <c r="AA33" s="9">
        <f t="shared" si="29"/>
        <v>219840.86933312</v>
      </c>
      <c r="AB33" s="9">
        <f t="shared" si="29"/>
        <v>217046.48</v>
      </c>
      <c r="AC33" s="9">
        <f>(12%*AC32)+AC32+21110+5000</f>
        <v>214410.0</v>
      </c>
      <c r="AD33" s="9">
        <f>(12%*AD32)+AD32+21110+5000</f>
        <v>211330.0</v>
      </c>
      <c r="AE33" s="9">
        <f>(12%*AE32)+AE32+21110+5000</f>
        <v>207970.0</v>
      </c>
      <c r="AF33" s="17">
        <v>202970.0</v>
      </c>
      <c r="AG33" s="14"/>
      <c r="AH33" s="5"/>
      <c r="AI33" s="5"/>
      <c r="AJ33" s="5"/>
      <c r="AK33" s="6"/>
      <c r="AL33" s="6"/>
    </row>
    <row r="34" spans="8:8" ht="36.0">
      <c r="A34" s="7">
        <v>1394.0</v>
      </c>
      <c r="B34" s="9">
        <f>B33*1.17+10000</f>
        <v>281566.982253861</v>
      </c>
      <c r="C34" s="9">
        <f>C33*1.17+10000</f>
        <v>281272.783167219</v>
      </c>
      <c r="D34" s="9">
        <f t="shared" si="30" ref="D34:AF34">D33*1.17+10000</f>
        <v>281272.783167219</v>
      </c>
      <c r="E34" s="9">
        <f t="shared" si="30"/>
        <v>280831.484537261</v>
      </c>
      <c r="F34" s="9">
        <f t="shared" si="30"/>
        <v>280390.185907301</v>
      </c>
      <c r="G34" s="9">
        <f t="shared" si="30"/>
        <v>279948.887277342</v>
      </c>
      <c r="H34" s="9">
        <f t="shared" si="30"/>
        <v>279507.588647383</v>
      </c>
      <c r="I34" s="9">
        <f t="shared" si="30"/>
        <v>279139.839789083</v>
      </c>
      <c r="J34" s="9">
        <f t="shared" si="30"/>
        <v>278624.991387464</v>
      </c>
      <c r="K34" s="9">
        <f t="shared" si="30"/>
        <v>278225.816717633</v>
      </c>
      <c r="L34" s="9">
        <f t="shared" si="30"/>
        <v>277743.184331702</v>
      </c>
      <c r="M34" s="9">
        <f t="shared" si="30"/>
        <v>277188.383649909</v>
      </c>
      <c r="N34" s="9">
        <f t="shared" si="30"/>
        <v>276546.397642971</v>
      </c>
      <c r="O34" s="9">
        <f t="shared" si="30"/>
        <v>276021.563845604</v>
      </c>
      <c r="P34" s="9">
        <f t="shared" si="30"/>
        <v>275488.61446817</v>
      </c>
      <c r="Q34" s="9">
        <f t="shared" si="30"/>
        <v>274866.952578662</v>
      </c>
      <c r="R34" s="9">
        <f t="shared" si="30"/>
        <v>274107.242811903</v>
      </c>
      <c r="S34" s="9">
        <f t="shared" si="30"/>
        <v>274107.242811903</v>
      </c>
      <c r="T34" s="9">
        <f t="shared" si="30"/>
        <v>274107.242811903</v>
      </c>
      <c r="U34" s="9">
        <f t="shared" si="30"/>
        <v>274107.242811903</v>
      </c>
      <c r="V34" s="9">
        <f t="shared" si="30"/>
        <v>274107.242811903</v>
      </c>
      <c r="W34" s="9">
        <f t="shared" si="30"/>
        <v>274107.242811903</v>
      </c>
      <c r="X34" s="9">
        <f t="shared" si="30"/>
        <v>274107.242811903</v>
      </c>
      <c r="Y34" s="9">
        <f t="shared" si="30"/>
        <v>271696.45714161</v>
      </c>
      <c r="Z34" s="9">
        <f t="shared" si="30"/>
        <v>269400.47078895</v>
      </c>
      <c r="AA34" s="9">
        <f t="shared" si="30"/>
        <v>267213.81711974996</v>
      </c>
      <c r="AB34" s="9">
        <f t="shared" si="30"/>
        <v>263944.38159999996</v>
      </c>
      <c r="AC34" s="9">
        <f t="shared" si="30"/>
        <v>260859.7</v>
      </c>
      <c r="AD34" s="9">
        <f t="shared" si="30"/>
        <v>257256.1</v>
      </c>
      <c r="AE34" s="9">
        <f t="shared" si="30"/>
        <v>253324.9</v>
      </c>
      <c r="AF34" s="9">
        <f t="shared" si="30"/>
        <v>247474.9</v>
      </c>
      <c r="AG34" s="17">
        <v>237475.0</v>
      </c>
      <c r="AH34" s="5"/>
      <c r="AI34" s="5"/>
      <c r="AJ34" s="5"/>
      <c r="AK34" s="6"/>
      <c r="AL34" s="6"/>
    </row>
    <row r="35" spans="8:8" ht="36.0">
      <c r="A35" s="7">
        <v>1395.0</v>
      </c>
      <c r="B35" s="9">
        <f>B34*1.14+10000</f>
        <v>330986.359769402</v>
      </c>
      <c r="C35" s="9">
        <f t="shared" si="31" ref="C35:AG35">C34*1.14+10000</f>
        <v>330650.97281063</v>
      </c>
      <c r="D35" s="9">
        <f t="shared" si="31"/>
        <v>330650.97281063</v>
      </c>
      <c r="E35" s="9">
        <f t="shared" si="31"/>
        <v>330147.892372478</v>
      </c>
      <c r="F35" s="9">
        <f t="shared" si="31"/>
        <v>329644.811934323</v>
      </c>
      <c r="G35" s="9">
        <f t="shared" si="31"/>
        <v>329141.73149617</v>
      </c>
      <c r="H35" s="9">
        <f t="shared" si="31"/>
        <v>328638.651058017</v>
      </c>
      <c r="I35" s="9">
        <f t="shared" si="31"/>
        <v>328219.417359555</v>
      </c>
      <c r="J35" s="9">
        <f t="shared" si="31"/>
        <v>327632.490181709</v>
      </c>
      <c r="K35" s="9">
        <f t="shared" si="31"/>
        <v>327177.431058102</v>
      </c>
      <c r="L35" s="9">
        <f t="shared" si="31"/>
        <v>326627.23013814</v>
      </c>
      <c r="M35" s="9">
        <f t="shared" si="31"/>
        <v>325994.757360896</v>
      </c>
      <c r="N35" s="9">
        <f t="shared" si="31"/>
        <v>325262.893312987</v>
      </c>
      <c r="O35" s="9">
        <f t="shared" si="31"/>
        <v>324664.582783989</v>
      </c>
      <c r="P35" s="9">
        <f t="shared" si="31"/>
        <v>324057.020493714</v>
      </c>
      <c r="Q35" s="9">
        <f t="shared" si="31"/>
        <v>323348.325939675</v>
      </c>
      <c r="R35" s="9">
        <f t="shared" si="31"/>
        <v>322482.256805569</v>
      </c>
      <c r="S35" s="9">
        <f t="shared" si="31"/>
        <v>322482.256805569</v>
      </c>
      <c r="T35" s="9">
        <f t="shared" si="31"/>
        <v>322482.256805569</v>
      </c>
      <c r="U35" s="9">
        <f t="shared" si="31"/>
        <v>322482.256805569</v>
      </c>
      <c r="V35" s="9">
        <f t="shared" si="31"/>
        <v>322482.256805569</v>
      </c>
      <c r="W35" s="9">
        <f t="shared" si="31"/>
        <v>322482.256805569</v>
      </c>
      <c r="X35" s="9">
        <f t="shared" si="31"/>
        <v>322482.256805569</v>
      </c>
      <c r="Y35" s="9">
        <f t="shared" si="31"/>
        <v>319733.961141435</v>
      </c>
      <c r="Z35" s="9">
        <f t="shared" si="31"/>
        <v>317116.536699403</v>
      </c>
      <c r="AA35" s="9">
        <f t="shared" si="31"/>
        <v>314623.751516515</v>
      </c>
      <c r="AB35" s="9">
        <f t="shared" si="31"/>
        <v>310896.595024</v>
      </c>
      <c r="AC35" s="9">
        <f t="shared" si="31"/>
        <v>307380.058</v>
      </c>
      <c r="AD35" s="9">
        <f t="shared" si="31"/>
        <v>303271.954</v>
      </c>
      <c r="AE35" s="9">
        <f t="shared" si="31"/>
        <v>298790.386</v>
      </c>
      <c r="AF35" s="9">
        <f t="shared" si="31"/>
        <v>292121.386</v>
      </c>
      <c r="AG35" s="9">
        <f t="shared" si="31"/>
        <v>280721.5</v>
      </c>
      <c r="AH35" s="17">
        <v>270722.0</v>
      </c>
      <c r="AI35" s="5"/>
      <c r="AJ35" s="5"/>
      <c r="AK35" s="6"/>
      <c r="AL35" s="6"/>
    </row>
    <row r="36" spans="8:8" ht="36.0">
      <c r="A36" s="7">
        <v>1396.0</v>
      </c>
      <c r="B36" s="9">
        <f>B35*1.12+6768+17000</f>
        <v>394472.72294173</v>
      </c>
      <c r="C36" s="9">
        <f t="shared" si="32" ref="C36:AH36">C35*1.12+6768+17000</f>
        <v>394097.089547906</v>
      </c>
      <c r="D36" s="9">
        <f t="shared" si="32"/>
        <v>394097.089547906</v>
      </c>
      <c r="E36" s="9">
        <f t="shared" si="32"/>
        <v>393533.639457175</v>
      </c>
      <c r="F36" s="9">
        <f t="shared" si="32"/>
        <v>392970.189366442</v>
      </c>
      <c r="G36" s="9">
        <f t="shared" si="32"/>
        <v>392406.73927571</v>
      </c>
      <c r="H36" s="9">
        <f t="shared" si="32"/>
        <v>391843.289184979</v>
      </c>
      <c r="I36" s="9">
        <f t="shared" si="32"/>
        <v>391373.747442702</v>
      </c>
      <c r="J36" s="9">
        <f t="shared" si="32"/>
        <v>390716.389003514</v>
      </c>
      <c r="K36" s="9">
        <f t="shared" si="32"/>
        <v>390206.722785074</v>
      </c>
      <c r="L36" s="9">
        <f t="shared" si="32"/>
        <v>389590.497754717</v>
      </c>
      <c r="M36" s="9">
        <f t="shared" si="32"/>
        <v>388882.128244204</v>
      </c>
      <c r="N36" s="9">
        <f t="shared" si="32"/>
        <v>388062.440510545</v>
      </c>
      <c r="O36" s="9">
        <f t="shared" si="32"/>
        <v>387392.332718068</v>
      </c>
      <c r="P36" s="9">
        <f t="shared" si="32"/>
        <v>386711.86295296</v>
      </c>
      <c r="Q36" s="9">
        <f t="shared" si="32"/>
        <v>385918.125052436</v>
      </c>
      <c r="R36" s="9">
        <f t="shared" si="32"/>
        <v>384948.127622237</v>
      </c>
      <c r="S36" s="9">
        <f t="shared" si="32"/>
        <v>384948.127622237</v>
      </c>
      <c r="T36" s="9">
        <f t="shared" si="32"/>
        <v>384948.127622237</v>
      </c>
      <c r="U36" s="9">
        <f t="shared" si="32"/>
        <v>384948.127622237</v>
      </c>
      <c r="V36" s="9">
        <f t="shared" si="32"/>
        <v>384948.127622237</v>
      </c>
      <c r="W36" s="9">
        <f t="shared" si="32"/>
        <v>384948.127622237</v>
      </c>
      <c r="X36" s="9">
        <f t="shared" si="32"/>
        <v>384948.127622237</v>
      </c>
      <c r="Y36" s="9">
        <f t="shared" si="32"/>
        <v>381870.036478407</v>
      </c>
      <c r="Z36" s="9">
        <f t="shared" si="32"/>
        <v>378938.521103331</v>
      </c>
      <c r="AA36" s="9">
        <f t="shared" si="32"/>
        <v>376146.601698497</v>
      </c>
      <c r="AB36" s="9">
        <f t="shared" si="32"/>
        <v>371972.18642688</v>
      </c>
      <c r="AC36" s="9">
        <f t="shared" si="32"/>
        <v>368033.66496</v>
      </c>
      <c r="AD36" s="9">
        <f t="shared" si="32"/>
        <v>363432.58848</v>
      </c>
      <c r="AE36" s="9">
        <f t="shared" si="32"/>
        <v>358413.23232</v>
      </c>
      <c r="AF36" s="9">
        <f t="shared" si="32"/>
        <v>350943.95232</v>
      </c>
      <c r="AG36" s="9">
        <f t="shared" si="32"/>
        <v>338176.08</v>
      </c>
      <c r="AH36" s="9">
        <f t="shared" si="32"/>
        <v>326976.64</v>
      </c>
      <c r="AI36" s="17">
        <v>309977.0</v>
      </c>
      <c r="AJ36" s="5"/>
      <c r="AK36" s="6"/>
      <c r="AL36" s="6"/>
    </row>
    <row r="37" spans="8:8" ht="36.0">
      <c r="A37" s="7">
        <v>1397.0</v>
      </c>
      <c r="B37" s="9">
        <f>B36*1.104+28208+17000</f>
        <v>480705.88612767</v>
      </c>
      <c r="C37" s="9">
        <f t="shared" si="33" ref="C37:AI37">C36*1.104+28208+17000</f>
        <v>480291.186860888</v>
      </c>
      <c r="D37" s="9">
        <f t="shared" si="33"/>
        <v>480291.186860888</v>
      </c>
      <c r="E37" s="9">
        <f t="shared" si="33"/>
        <v>479669.137960721</v>
      </c>
      <c r="F37" s="9">
        <f t="shared" si="33"/>
        <v>479047.089060552</v>
      </c>
      <c r="G37" s="9">
        <f t="shared" si="33"/>
        <v>478425.040160384</v>
      </c>
      <c r="H37" s="9">
        <f t="shared" si="33"/>
        <v>477802.991260217</v>
      </c>
      <c r="I37" s="9">
        <f t="shared" si="33"/>
        <v>477284.617176743</v>
      </c>
      <c r="J37" s="9">
        <f t="shared" si="33"/>
        <v>476558.89345988</v>
      </c>
      <c r="K37" s="9">
        <f t="shared" si="33"/>
        <v>475996.221954722</v>
      </c>
      <c r="L37" s="9">
        <f t="shared" si="33"/>
        <v>475315.909521208</v>
      </c>
      <c r="M37" s="9">
        <f t="shared" si="33"/>
        <v>474533.869581601</v>
      </c>
      <c r="N37" s="9">
        <f t="shared" si="33"/>
        <v>473628.934323642</v>
      </c>
      <c r="O37" s="9">
        <f t="shared" si="33"/>
        <v>472889.135320747</v>
      </c>
      <c r="P37" s="9">
        <f t="shared" si="33"/>
        <v>472137.896700068</v>
      </c>
      <c r="Q37" s="9">
        <f t="shared" si="33"/>
        <v>471261.610057889</v>
      </c>
      <c r="R37" s="9">
        <f t="shared" si="33"/>
        <v>470190.73289495</v>
      </c>
      <c r="S37" s="9">
        <f t="shared" si="33"/>
        <v>470190.73289495</v>
      </c>
      <c r="T37" s="9">
        <f t="shared" si="33"/>
        <v>470190.73289495</v>
      </c>
      <c r="U37" s="9">
        <f t="shared" si="33"/>
        <v>470190.73289495</v>
      </c>
      <c r="V37" s="9">
        <f t="shared" si="33"/>
        <v>470190.73289495</v>
      </c>
      <c r="W37" s="9">
        <f t="shared" si="33"/>
        <v>470190.73289495</v>
      </c>
      <c r="X37" s="9">
        <f t="shared" si="33"/>
        <v>470190.73289495</v>
      </c>
      <c r="Y37" s="9">
        <f t="shared" si="33"/>
        <v>466792.520272161</v>
      </c>
      <c r="Z37" s="9">
        <f t="shared" si="33"/>
        <v>463556.127298077</v>
      </c>
      <c r="AA37" s="9">
        <f t="shared" si="33"/>
        <v>460473.848275141</v>
      </c>
      <c r="AB37" s="9">
        <f t="shared" si="33"/>
        <v>455865.293815276</v>
      </c>
      <c r="AC37" s="9">
        <f t="shared" si="33"/>
        <v>451517.16611584</v>
      </c>
      <c r="AD37" s="9">
        <f t="shared" si="33"/>
        <v>446437.57768192</v>
      </c>
      <c r="AE37" s="9">
        <f t="shared" si="33"/>
        <v>440896.20848128</v>
      </c>
      <c r="AF37" s="9">
        <f t="shared" si="33"/>
        <v>432650.12336128</v>
      </c>
      <c r="AG37" s="9">
        <f t="shared" si="33"/>
        <v>418554.39232</v>
      </c>
      <c r="AH37" s="9">
        <f t="shared" si="33"/>
        <v>406190.21056</v>
      </c>
      <c r="AI37" s="9">
        <f t="shared" si="33"/>
        <v>387422.608</v>
      </c>
      <c r="AJ37" s="17">
        <v>370423.0</v>
      </c>
      <c r="AK37" s="6"/>
      <c r="AL37" s="6"/>
    </row>
    <row r="38" spans="8:8" ht="36.0">
      <c r="A38" s="7">
        <v>1398.0</v>
      </c>
      <c r="B38" s="9">
        <f>B37*1.13+87049+23333</f>
        <v>653579.651324267</v>
      </c>
      <c r="C38" s="9">
        <f t="shared" si="34" ref="C38:AJ38">C37*1.13+87049+23333</f>
        <v>653111.041152803</v>
      </c>
      <c r="D38" s="9">
        <f t="shared" si="34"/>
        <v>653111.041152803</v>
      </c>
      <c r="E38" s="9">
        <f t="shared" si="34"/>
        <v>652408.125895615</v>
      </c>
      <c r="F38" s="9">
        <f t="shared" si="34"/>
        <v>651705.210638424</v>
      </c>
      <c r="G38" s="9">
        <f t="shared" si="34"/>
        <v>651002.295381234</v>
      </c>
      <c r="H38" s="9">
        <f t="shared" si="34"/>
        <v>650299.380124045</v>
      </c>
      <c r="I38" s="9">
        <f t="shared" si="34"/>
        <v>649713.61740972</v>
      </c>
      <c r="J38" s="9">
        <f t="shared" si="34"/>
        <v>648893.549609664</v>
      </c>
      <c r="K38" s="9">
        <f t="shared" si="34"/>
        <v>648257.730808836</v>
      </c>
      <c r="L38" s="9">
        <f t="shared" si="34"/>
        <v>647488.977758965</v>
      </c>
      <c r="M38" s="9">
        <f t="shared" si="34"/>
        <v>646605.272627209</v>
      </c>
      <c r="N38" s="9">
        <f t="shared" si="34"/>
        <v>645582.695785715</v>
      </c>
      <c r="O38" s="9">
        <f t="shared" si="34"/>
        <v>644746.722912444</v>
      </c>
      <c r="P38" s="9">
        <f t="shared" si="34"/>
        <v>643897.823271077</v>
      </c>
      <c r="Q38" s="9">
        <f t="shared" si="34"/>
        <v>642907.619365415</v>
      </c>
      <c r="R38" s="9">
        <f t="shared" si="34"/>
        <v>641697.528171293</v>
      </c>
      <c r="S38" s="9">
        <f t="shared" si="34"/>
        <v>641697.528171293</v>
      </c>
      <c r="T38" s="9">
        <f t="shared" si="34"/>
        <v>641697.528171293</v>
      </c>
      <c r="U38" s="9">
        <f t="shared" si="34"/>
        <v>641697.528171293</v>
      </c>
      <c r="V38" s="9">
        <f t="shared" si="34"/>
        <v>641697.528171293</v>
      </c>
      <c r="W38" s="9">
        <f t="shared" si="34"/>
        <v>641697.528171293</v>
      </c>
      <c r="X38" s="9">
        <f t="shared" si="34"/>
        <v>641697.528171293</v>
      </c>
      <c r="Y38" s="9">
        <f t="shared" si="34"/>
        <v>637857.547907542</v>
      </c>
      <c r="Z38" s="9">
        <f t="shared" si="34"/>
        <v>634200.423846827</v>
      </c>
      <c r="AA38" s="9">
        <f t="shared" si="34"/>
        <v>630717.448550909</v>
      </c>
      <c r="AB38" s="9">
        <f t="shared" si="34"/>
        <v>625509.782011262</v>
      </c>
      <c r="AC38" s="9">
        <f t="shared" si="34"/>
        <v>620596.397710899</v>
      </c>
      <c r="AD38" s="9">
        <f t="shared" si="34"/>
        <v>614856.46278057</v>
      </c>
      <c r="AE38" s="9">
        <f t="shared" si="34"/>
        <v>608594.715583846</v>
      </c>
      <c r="AF38" s="9">
        <f t="shared" si="34"/>
        <v>599276.639398246</v>
      </c>
      <c r="AG38" s="9">
        <f t="shared" si="34"/>
        <v>583348.4633216</v>
      </c>
      <c r="AH38" s="9">
        <f t="shared" si="34"/>
        <v>569376.9379328</v>
      </c>
      <c r="AI38" s="9">
        <f t="shared" si="34"/>
        <v>548169.54704</v>
      </c>
      <c r="AJ38" s="9">
        <f t="shared" si="34"/>
        <v>528959.99</v>
      </c>
      <c r="AK38" s="17">
        <v>505627.0</v>
      </c>
      <c r="AL38" s="6"/>
    </row>
    <row r="39" spans="8:8" ht="36.0">
      <c r="A39" s="7">
        <v>1399.0</v>
      </c>
      <c r="B39" s="9">
        <f>B38*1.15+55338+33333</f>
        <v>840287.599022907</v>
      </c>
      <c r="C39" s="9">
        <f>C38*1.15+55338+33333</f>
        <v>839748.697325723</v>
      </c>
      <c r="D39" s="9">
        <f t="shared" si="35" ref="D39:AK39">D38*1.15+55338+33333</f>
        <v>839748.697325723</v>
      </c>
      <c r="E39" s="9">
        <f t="shared" si="35"/>
        <v>838940.344779957</v>
      </c>
      <c r="F39" s="9">
        <f t="shared" si="35"/>
        <v>838131.992234188</v>
      </c>
      <c r="G39" s="9">
        <f t="shared" si="35"/>
        <v>837323.639688419</v>
      </c>
      <c r="H39" s="9">
        <f t="shared" si="35"/>
        <v>836515.287142652</v>
      </c>
      <c r="I39" s="9">
        <f t="shared" si="35"/>
        <v>835841.660021178</v>
      </c>
      <c r="J39" s="9">
        <f t="shared" si="35"/>
        <v>834898.582051114</v>
      </c>
      <c r="K39" s="9">
        <f t="shared" si="35"/>
        <v>834167.390430161</v>
      </c>
      <c r="L39" s="9">
        <f t="shared" si="35"/>
        <v>833283.32442281</v>
      </c>
      <c r="M39" s="9">
        <f t="shared" si="35"/>
        <v>832267.06352129</v>
      </c>
      <c r="N39" s="9">
        <f t="shared" si="35"/>
        <v>831091.100153572</v>
      </c>
      <c r="O39" s="9">
        <f t="shared" si="35"/>
        <v>830129.731349311</v>
      </c>
      <c r="P39" s="9">
        <f t="shared" si="35"/>
        <v>829153.496761739</v>
      </c>
      <c r="Q39" s="9">
        <f t="shared" si="35"/>
        <v>828014.762270227</v>
      </c>
      <c r="R39" s="9">
        <f t="shared" si="35"/>
        <v>826623.157396987</v>
      </c>
      <c r="S39" s="9">
        <f t="shared" si="35"/>
        <v>826623.157396987</v>
      </c>
      <c r="T39" s="9">
        <f t="shared" si="35"/>
        <v>826623.157396987</v>
      </c>
      <c r="U39" s="9">
        <f t="shared" si="35"/>
        <v>826623.157396987</v>
      </c>
      <c r="V39" s="9">
        <f t="shared" si="35"/>
        <v>826623.157396987</v>
      </c>
      <c r="W39" s="9">
        <f t="shared" si="35"/>
        <v>826623.157396987</v>
      </c>
      <c r="X39" s="9">
        <f t="shared" si="35"/>
        <v>826623.157396987</v>
      </c>
      <c r="Y39" s="9">
        <f t="shared" si="35"/>
        <v>822207.180093673</v>
      </c>
      <c r="Z39" s="9">
        <f t="shared" si="35"/>
        <v>818001.487423851</v>
      </c>
      <c r="AA39" s="9">
        <f t="shared" si="35"/>
        <v>813996.065833545</v>
      </c>
      <c r="AB39" s="9">
        <f t="shared" si="35"/>
        <v>808007.249312951</v>
      </c>
      <c r="AC39" s="9">
        <f t="shared" si="35"/>
        <v>802356.857367534</v>
      </c>
      <c r="AD39" s="9">
        <f t="shared" si="35"/>
        <v>795755.932197655</v>
      </c>
      <c r="AE39" s="9">
        <f t="shared" si="35"/>
        <v>788554.922921423</v>
      </c>
      <c r="AF39" s="9">
        <f t="shared" si="35"/>
        <v>777839.135307983</v>
      </c>
      <c r="AG39" s="9">
        <f t="shared" si="35"/>
        <v>759521.73281984</v>
      </c>
      <c r="AH39" s="9">
        <f t="shared" si="35"/>
        <v>743454.47862272</v>
      </c>
      <c r="AI39" s="9">
        <f t="shared" si="35"/>
        <v>719065.979096</v>
      </c>
      <c r="AJ39" s="9">
        <f t="shared" si="35"/>
        <v>696974.9885</v>
      </c>
      <c r="AK39" s="9">
        <f t="shared" si="35"/>
        <v>670142.05</v>
      </c>
      <c r="AL39" s="17">
        <v>636809.0</v>
      </c>
    </row>
    <row r="40" spans="8:8" ht="32.25">
      <c r="A40" s="18">
        <v>1400.0</v>
      </c>
      <c r="B40" s="9">
        <f>B39*1.26+82785+46667</f>
        <v>1188214.37476886</v>
      </c>
      <c r="C40" s="9">
        <f>C39*1.26+82785+46667</f>
        <v>1187535.35863041</v>
      </c>
      <c r="D40" s="9">
        <f t="shared" si="36" ref="D40:S40">D39*1.26+82785+46667</f>
        <v>1187535.35863041</v>
      </c>
      <c r="E40" s="9">
        <f t="shared" si="36"/>
        <v>1186516.83442275</v>
      </c>
      <c r="F40" s="9">
        <f t="shared" si="36"/>
        <v>1185498.31021508</v>
      </c>
      <c r="G40" s="9">
        <f t="shared" si="36"/>
        <v>1184479.78600741</v>
      </c>
      <c r="H40" s="9">
        <f t="shared" si="36"/>
        <v>1183461.26179974</v>
      </c>
      <c r="I40" s="9">
        <f t="shared" si="36"/>
        <v>1182612.49162668</v>
      </c>
      <c r="J40" s="9">
        <f t="shared" si="36"/>
        <v>1181424.2133844</v>
      </c>
      <c r="K40" s="9">
        <f t="shared" si="36"/>
        <v>1180502.911942</v>
      </c>
      <c r="L40" s="9">
        <f t="shared" si="36"/>
        <v>1179388.98877274</v>
      </c>
      <c r="M40" s="9">
        <f t="shared" si="36"/>
        <v>1178108.50003683</v>
      </c>
      <c r="N40" s="9">
        <f t="shared" si="36"/>
        <v>1176626.7861935</v>
      </c>
      <c r="O40" s="9">
        <f t="shared" si="36"/>
        <v>1175415.46150013</v>
      </c>
      <c r="P40" s="9">
        <f t="shared" si="36"/>
        <v>1174185.40591979</v>
      </c>
      <c r="Q40" s="9">
        <f t="shared" si="36"/>
        <v>1172750.60046049</v>
      </c>
      <c r="R40" s="9">
        <f t="shared" si="36"/>
        <v>1170997.1783202</v>
      </c>
      <c r="S40" s="9">
        <f t="shared" si="36"/>
        <v>1170997.1783202</v>
      </c>
      <c r="T40" s="9">
        <f t="shared" si="37" ref="T40">T39*1.26+82785+46667</f>
        <v>1170997.1783202</v>
      </c>
      <c r="U40" s="9">
        <f t="shared" si="38" ref="U40">U39*1.26+82785+46667</f>
        <v>1170997.1783202</v>
      </c>
      <c r="V40" s="9">
        <f t="shared" si="39" ref="V40">V39*1.26+82785+46667</f>
        <v>1170997.1783202</v>
      </c>
      <c r="W40" s="9">
        <f t="shared" si="40" ref="W40">W39*1.26+82785+46667</f>
        <v>1170997.1783202</v>
      </c>
      <c r="X40" s="9">
        <f t="shared" si="41" ref="X40">X39*1.26+82785+46667</f>
        <v>1170997.1783202</v>
      </c>
      <c r="Y40" s="9">
        <f t="shared" si="42" ref="Y40">Y39*1.26+82785+46667</f>
        <v>1165433.04691803</v>
      </c>
      <c r="Z40" s="9">
        <f t="shared" si="43" ref="Z40">Z39*1.26+82785+46667</f>
        <v>1160133.87415405</v>
      </c>
      <c r="AA40" s="9">
        <f t="shared" si="44" ref="AA40">AA39*1.26+82785+46667</f>
        <v>1155087.04295027</v>
      </c>
      <c r="AB40" s="9">
        <f t="shared" si="45" ref="AB40">AB39*1.26+82785+46667</f>
        <v>1147541.13413432</v>
      </c>
      <c r="AC40" s="9">
        <f t="shared" si="46" ref="AC40">AC39*1.26+82785+46667</f>
        <v>1140421.64028309</v>
      </c>
      <c r="AD40" s="9">
        <f t="shared" si="47" ref="AD40">AD39*1.26+82785+46667</f>
        <v>1132104.47456905</v>
      </c>
      <c r="AE40" s="9">
        <f t="shared" si="48" ref="AE40">AE39*1.26+82785+46667</f>
        <v>1123031.20288099</v>
      </c>
      <c r="AF40" s="9">
        <f t="shared" si="49" ref="AF40">AF39*1.26+82785+46667</f>
        <v>1109529.31048806</v>
      </c>
      <c r="AG40" s="9">
        <f t="shared" si="50" ref="AG40">AG39*1.26+82785+46667</f>
        <v>1086449.383353</v>
      </c>
      <c r="AH40" s="9">
        <f t="shared" si="51" ref="AH40">AH39*1.26+82785+46667</f>
        <v>1066204.64306463</v>
      </c>
      <c r="AI40" s="9">
        <f t="shared" si="52" ref="AI40">AI39*1.26+82785+46667</f>
        <v>1035475.13366096</v>
      </c>
      <c r="AJ40" s="9">
        <f t="shared" si="53" ref="AJ40">AJ39*1.26+82785+46667</f>
        <v>1007640.48551</v>
      </c>
      <c r="AK40" s="9">
        <f t="shared" si="54" ref="AK40">AK39*1.26+82785+46667</f>
        <v>973830.983</v>
      </c>
      <c r="AL40" s="9">
        <f t="shared" si="55" ref="AL40">AL39*1.26+82785+46667</f>
        <v>931831.34</v>
      </c>
      <c r="AM40" s="17">
        <v>885165.0</v>
      </c>
    </row>
    <row r="41" spans="8:8" ht="32.25">
      <c r="A41" s="18">
        <v>1401.0</v>
      </c>
      <c r="B41" s="9">
        <f>B40*1.38+171722+70000</f>
        <v>1881457.83718103</v>
      </c>
      <c r="C41" s="9">
        <f t="shared" si="56" ref="C41:O41">C40*1.38+171722+70000</f>
        <v>1880520.79490997</v>
      </c>
      <c r="D41" s="9">
        <f t="shared" si="56"/>
        <v>1880520.79490997</v>
      </c>
      <c r="E41" s="9">
        <f t="shared" si="56"/>
        <v>1879115.23150339</v>
      </c>
      <c r="F41" s="9">
        <f t="shared" si="56"/>
        <v>1877709.66809681</v>
      </c>
      <c r="G41" s="9">
        <f t="shared" si="56"/>
        <v>1876304.10469023</v>
      </c>
      <c r="H41" s="9">
        <f t="shared" si="56"/>
        <v>1874898.54128364</v>
      </c>
      <c r="I41" s="9">
        <f t="shared" si="56"/>
        <v>1873727.23844482</v>
      </c>
      <c r="J41" s="9">
        <f t="shared" si="56"/>
        <v>1872087.41447047</v>
      </c>
      <c r="K41" s="9">
        <f t="shared" si="56"/>
        <v>1870816.01847996</v>
      </c>
      <c r="L41" s="9">
        <f t="shared" si="56"/>
        <v>1869278.80450638</v>
      </c>
      <c r="M41" s="9">
        <f t="shared" si="56"/>
        <v>1867511.73005083</v>
      </c>
      <c r="N41" s="9">
        <f t="shared" si="56"/>
        <v>1865466.96494703</v>
      </c>
      <c r="O41" s="9">
        <f t="shared" si="56"/>
        <v>1863795.33687018</v>
      </c>
      <c r="P41" s="9">
        <f t="shared" si="57" ref="P41">P40*1.38+171722+70000</f>
        <v>1862097.86016931</v>
      </c>
      <c r="Q41" s="9">
        <f t="shared" si="58" ref="Q41">Q40*1.38+171722+70000</f>
        <v>1860117.82863548</v>
      </c>
      <c r="R41" s="9">
        <f t="shared" si="59" ref="R41">R40*1.38+171722+70000</f>
        <v>1857698.10608188</v>
      </c>
      <c r="S41" s="9">
        <f t="shared" si="60" ref="S41">S40*1.38+171722+70000</f>
        <v>1857698.10608188</v>
      </c>
      <c r="T41" s="9">
        <f t="shared" si="61" ref="T41">T40*1.38+171722+70000</f>
        <v>1857698.10608188</v>
      </c>
      <c r="U41" s="9">
        <f t="shared" si="62" ref="U41">U40*1.38+171722+70000</f>
        <v>1857698.10608188</v>
      </c>
      <c r="V41" s="9">
        <f t="shared" si="63" ref="V41">V40*1.38+171722+70000</f>
        <v>1857698.10608188</v>
      </c>
      <c r="W41" s="9">
        <f t="shared" si="64" ref="W41">W40*1.38+171722+70000</f>
        <v>1857698.10608188</v>
      </c>
      <c r="X41" s="9">
        <f t="shared" si="65" ref="X41">X40*1.38+171722+70000</f>
        <v>1857698.10608188</v>
      </c>
      <c r="Y41" s="9">
        <f t="shared" si="66" ref="Y41">Y40*1.38+171722+70000</f>
        <v>1850019.60474688</v>
      </c>
      <c r="Z41" s="9">
        <f t="shared" si="67" ref="Z41">Z40*1.38+171722+70000</f>
        <v>1842706.74633259</v>
      </c>
      <c r="AA41" s="9">
        <f t="shared" si="68" ref="AA41">AA40*1.38+171722+70000</f>
        <v>1835742.11927137</v>
      </c>
      <c r="AB41" s="9">
        <f t="shared" si="69" ref="AB41">AB40*1.38+171722+70000</f>
        <v>1825328.76510536</v>
      </c>
      <c r="AC41" s="9">
        <f t="shared" si="70" ref="AC41">AC40*1.38+171722+70000</f>
        <v>1815503.86359066</v>
      </c>
      <c r="AD41" s="9">
        <f t="shared" si="71" ref="AD41">AD40*1.38+171722+70000</f>
        <v>1804026.17490529</v>
      </c>
      <c r="AE41" s="9">
        <f t="shared" si="72" ref="AE41">AE40*1.38+171722+70000</f>
        <v>1791505.05997577</v>
      </c>
      <c r="AF41" s="9">
        <f t="shared" si="73" ref="AF41">AF40*1.38+171722+70000</f>
        <v>1772872.44847352</v>
      </c>
      <c r="AG41" s="9">
        <f t="shared" si="74" ref="AG41">AG40*1.38+171722+70000</f>
        <v>1741022.14902714</v>
      </c>
      <c r="AH41" s="9">
        <f t="shared" si="75" ref="AH41">AH40*1.38+171722+70000</f>
        <v>1713084.40742919</v>
      </c>
      <c r="AI41" s="9">
        <f t="shared" si="76" ref="AI41">AI40*1.38+171722+70000</f>
        <v>1670677.68445212</v>
      </c>
      <c r="AJ41" s="9">
        <f t="shared" si="77" ref="AJ41">AJ40*1.38+171722+70000</f>
        <v>1632265.8700038</v>
      </c>
      <c r="AK41" s="9">
        <f t="shared" si="78" ref="AK41">AK40*1.38+171722+70000</f>
        <v>1585608.75654</v>
      </c>
      <c r="AL41" s="9">
        <f t="shared" si="79" ref="AL41">AL40*1.38+171722+70000</f>
        <v>1527649.2492</v>
      </c>
      <c r="AM41" s="9">
        <f t="shared" si="80" ref="AM41">AM40*1.38+171722+70000</f>
        <v>1463249.7</v>
      </c>
      <c r="AN41" s="17">
        <v>1393250.0</v>
      </c>
    </row>
    <row r="42" spans="8:8" ht="32.25">
      <c r="A42" s="18">
        <v>1402.0</v>
      </c>
      <c r="B42" s="9">
        <f>B41*1.21+83596+70000</f>
        <v>2430159.98298905</v>
      </c>
      <c r="C42" s="9">
        <f t="shared" si="81" ref="C42:U42">C41*1.21+83596+70000</f>
        <v>2429026.16184106</v>
      </c>
      <c r="D42" s="9">
        <f t="shared" si="81"/>
        <v>2429026.16184106</v>
      </c>
      <c r="E42" s="9">
        <f t="shared" si="81"/>
        <v>2427325.4301191</v>
      </c>
      <c r="F42" s="9">
        <f t="shared" si="81"/>
        <v>2425624.69839714</v>
      </c>
      <c r="G42" s="9">
        <f t="shared" si="81"/>
        <v>2423923.96667518</v>
      </c>
      <c r="H42" s="9">
        <f t="shared" si="81"/>
        <v>2422223.2349532</v>
      </c>
      <c r="I42" s="9">
        <f t="shared" si="81"/>
        <v>2420805.95851823</v>
      </c>
      <c r="J42" s="9">
        <f t="shared" si="81"/>
        <v>2418821.77150927</v>
      </c>
      <c r="K42" s="9">
        <f t="shared" si="81"/>
        <v>2417283.38236075</v>
      </c>
      <c r="L42" s="9">
        <f t="shared" si="81"/>
        <v>2415423.35345272</v>
      </c>
      <c r="M42" s="9">
        <f t="shared" si="81"/>
        <v>2413285.1933615</v>
      </c>
      <c r="N42" s="9">
        <f t="shared" si="81"/>
        <v>2410811.02758591</v>
      </c>
      <c r="O42" s="9">
        <f t="shared" si="81"/>
        <v>2408788.35761292</v>
      </c>
      <c r="P42" s="9">
        <f t="shared" si="81"/>
        <v>2406734.41080487</v>
      </c>
      <c r="Q42" s="9">
        <f t="shared" si="81"/>
        <v>2404338.57264893</v>
      </c>
      <c r="R42" s="9">
        <f t="shared" si="81"/>
        <v>2401410.70835908</v>
      </c>
      <c r="S42" s="9">
        <f t="shared" si="81"/>
        <v>2401410.70835908</v>
      </c>
      <c r="T42" s="9">
        <f t="shared" si="81"/>
        <v>2401410.70835908</v>
      </c>
      <c r="U42" s="9">
        <f t="shared" si="81"/>
        <v>2401410.70835908</v>
      </c>
      <c r="V42" s="9">
        <f t="shared" si="82" ref="V42">V41*1.21+83596+70000</f>
        <v>2401410.70835908</v>
      </c>
      <c r="W42" s="9">
        <f t="shared" si="83" ref="W42">W41*1.21+83596+70000</f>
        <v>2401410.70835908</v>
      </c>
      <c r="X42" s="9">
        <f t="shared" si="84" ref="X42">X41*1.21+83596+70000</f>
        <v>2401410.70835908</v>
      </c>
      <c r="Y42" s="9">
        <f t="shared" si="85" ref="Y42">Y41*1.21+83596+70000</f>
        <v>2392119.72174373</v>
      </c>
      <c r="Z42" s="9">
        <f t="shared" si="86" ref="Z42">Z41*1.21+83596+70000</f>
        <v>2383271.16306243</v>
      </c>
      <c r="AA42" s="9">
        <f t="shared" si="87" ref="AA42">AA41*1.21+83596+70000</f>
        <v>2374843.96431836</v>
      </c>
      <c r="AB42" s="9">
        <f t="shared" si="88" ref="AB42">AB41*1.21+83596+70000</f>
        <v>2362243.80577749</v>
      </c>
      <c r="AC42" s="9">
        <f t="shared" si="89" ref="AC42">AC41*1.21+83596+70000</f>
        <v>2350355.6749447</v>
      </c>
      <c r="AD42" s="9">
        <f t="shared" si="90" ref="AD42">AD41*1.21+83596+70000</f>
        <v>2336467.6716354</v>
      </c>
      <c r="AE42" s="9">
        <f t="shared" si="91" ref="AE42">AE41*1.21+83596+70000</f>
        <v>2321317.12257068</v>
      </c>
      <c r="AF42" s="9">
        <f t="shared" si="92" ref="AF42">AF41*1.21+83596+70000</f>
        <v>2298771.66265296</v>
      </c>
      <c r="AG42" s="9">
        <f t="shared" si="93" ref="AG42">AG41*1.21+83596+70000</f>
        <v>2260232.80032284</v>
      </c>
      <c r="AH42" s="9">
        <f t="shared" si="94" ref="AH42">AH41*1.21+83596+70000</f>
        <v>2226428.13298932</v>
      </c>
      <c r="AI42" s="9">
        <f t="shared" si="95" ref="AI42">AI41*1.21+83596+70000</f>
        <v>2175115.99818707</v>
      </c>
      <c r="AJ42" s="9">
        <f t="shared" si="96" ref="AJ42">AJ41*1.21+83596+70000</f>
        <v>2128637.7027046</v>
      </c>
      <c r="AK42" s="9">
        <f t="shared" si="97" ref="AK42">AK41*1.21+83596+70000</f>
        <v>2072182.5954134</v>
      </c>
      <c r="AL42" s="9">
        <f t="shared" si="98" ref="AL42">AL41*1.21+83596+70000</f>
        <v>2002051.591532</v>
      </c>
      <c r="AM42" s="9">
        <f t="shared" si="99" ref="AM42:AN42">AM41*1.21+83596+70000</f>
        <v>1924128.137</v>
      </c>
      <c r="AN42" s="9">
        <f t="shared" si="99"/>
        <v>1839428.5</v>
      </c>
      <c r="AO42" s="17">
        <v>1769428.0</v>
      </c>
    </row>
    <row r="43" spans="8:8" ht="32.25">
      <c r="A43" s="18">
        <v>1403.0</v>
      </c>
      <c r="B43" s="9">
        <f>B42*1.22+230026+70000</f>
        <v>3264821.17924664</v>
      </c>
      <c r="C43" s="9">
        <f t="shared" si="100" ref="C43:AO43">C42*1.22+230026+70000</f>
        <v>3263437.91744609</v>
      </c>
      <c r="D43" s="9">
        <f t="shared" si="100"/>
        <v>3263437.91744609</v>
      </c>
      <c r="E43" s="9">
        <f t="shared" si="100"/>
        <v>3261363.0247453</v>
      </c>
      <c r="F43" s="9">
        <f t="shared" si="100"/>
        <v>3259288.13204451</v>
      </c>
      <c r="G43" s="9">
        <f t="shared" si="100"/>
        <v>3257213.23934372</v>
      </c>
      <c r="H43" s="9">
        <f t="shared" si="100"/>
        <v>3255138.3466429</v>
      </c>
      <c r="I43" s="9">
        <f t="shared" si="100"/>
        <v>3253409.26939224</v>
      </c>
      <c r="J43" s="9">
        <f t="shared" si="100"/>
        <v>3250988.56124131</v>
      </c>
      <c r="K43" s="9">
        <f t="shared" si="100"/>
        <v>3249111.72648011</v>
      </c>
      <c r="L43" s="9">
        <f t="shared" si="100"/>
        <v>3246842.49121232</v>
      </c>
      <c r="M43" s="9">
        <f t="shared" si="100"/>
        <v>3244233.93590103</v>
      </c>
      <c r="N43" s="9">
        <f t="shared" si="100"/>
        <v>3241215.45365481</v>
      </c>
      <c r="O43" s="9">
        <f t="shared" si="100"/>
        <v>3238747.79628776</v>
      </c>
      <c r="P43" s="9">
        <f t="shared" si="100"/>
        <v>3236241.98118194</v>
      </c>
      <c r="Q43" s="9">
        <f t="shared" si="100"/>
        <v>3233319.05863169</v>
      </c>
      <c r="R43" s="9">
        <f t="shared" si="100"/>
        <v>3229747.06419808</v>
      </c>
      <c r="S43" s="9">
        <f t="shared" si="100"/>
        <v>3229747.06419808</v>
      </c>
      <c r="T43" s="9">
        <f t="shared" si="100"/>
        <v>3229747.06419808</v>
      </c>
      <c r="U43" s="9">
        <f t="shared" si="100"/>
        <v>3229747.06419808</v>
      </c>
      <c r="V43" s="9">
        <f t="shared" si="100"/>
        <v>3229747.06419808</v>
      </c>
      <c r="W43" s="9">
        <f t="shared" si="100"/>
        <v>3229747.06419808</v>
      </c>
      <c r="X43" s="9">
        <f t="shared" si="100"/>
        <v>3229747.06419808</v>
      </c>
      <c r="Y43" s="9">
        <f t="shared" si="100"/>
        <v>3218412.06052735</v>
      </c>
      <c r="Z43" s="9">
        <f t="shared" si="100"/>
        <v>3207616.81893616</v>
      </c>
      <c r="AA43" s="9">
        <f t="shared" si="100"/>
        <v>3197335.6364684</v>
      </c>
      <c r="AB43" s="9">
        <f t="shared" si="100"/>
        <v>3181963.44304854</v>
      </c>
      <c r="AC43" s="9">
        <f t="shared" si="100"/>
        <v>3167459.92343253</v>
      </c>
      <c r="AD43" s="9">
        <f t="shared" si="100"/>
        <v>3150516.55939519</v>
      </c>
      <c r="AE43" s="9">
        <f t="shared" si="100"/>
        <v>3132032.88953623</v>
      </c>
      <c r="AF43" s="9">
        <f t="shared" si="100"/>
        <v>3104527.42843661</v>
      </c>
      <c r="AG43" s="9">
        <f t="shared" si="100"/>
        <v>3057510.01639386</v>
      </c>
      <c r="AH43" s="9">
        <f t="shared" si="100"/>
        <v>3016268.32224697</v>
      </c>
      <c r="AI43" s="9">
        <f t="shared" si="100"/>
        <v>2953667.51778823</v>
      </c>
      <c r="AJ43" s="9">
        <f t="shared" si="100"/>
        <v>2896963.99729961</v>
      </c>
      <c r="AK43" s="9">
        <f t="shared" si="100"/>
        <v>2828088.76640435</v>
      </c>
      <c r="AL43" s="9">
        <f t="shared" si="100"/>
        <v>2742528.94166904</v>
      </c>
      <c r="AM43" s="9">
        <f t="shared" si="100"/>
        <v>2647462.32714</v>
      </c>
      <c r="AN43" s="9">
        <f t="shared" si="100"/>
        <v>2544128.77</v>
      </c>
      <c r="AO43" s="9">
        <f t="shared" si="100"/>
        <v>2458728.16</v>
      </c>
      <c r="AP43" s="17">
        <f>AO42*1.22+230026</f>
        <v>2388728.16</v>
      </c>
    </row>
    <row r="44" spans="8:8" ht="32.25">
      <c r="A44" s="18">
        <v>1404.0</v>
      </c>
      <c r="B44" s="9">
        <f>B43*1.32+310536+94000</f>
        <v>4714099.95660557</v>
      </c>
      <c r="C44" s="9">
        <f t="shared" si="101" ref="C44:AP44">C43*1.32+310536+94000</f>
        <v>4712274.05102884</v>
      </c>
      <c r="D44" s="9">
        <f t="shared" si="101"/>
        <v>4712274.05102884</v>
      </c>
      <c r="E44" s="9">
        <f t="shared" si="101"/>
        <v>4709535.1926638</v>
      </c>
      <c r="F44" s="9">
        <f t="shared" si="101"/>
        <v>4706796.33429875</v>
      </c>
      <c r="G44" s="9">
        <f t="shared" si="101"/>
        <v>4704057.47593371</v>
      </c>
      <c r="H44" s="9">
        <f t="shared" si="101"/>
        <v>4701318.61756863</v>
      </c>
      <c r="I44" s="9">
        <f t="shared" si="101"/>
        <v>4699036.23559776</v>
      </c>
      <c r="J44" s="9">
        <f t="shared" si="101"/>
        <v>4695840.90083853</v>
      </c>
      <c r="K44" s="9">
        <f t="shared" si="101"/>
        <v>4693363.47895375</v>
      </c>
      <c r="L44" s="9">
        <f t="shared" si="101"/>
        <v>4690368.08840026</v>
      </c>
      <c r="M44" s="9">
        <f t="shared" si="101"/>
        <v>4686924.79538936</v>
      </c>
      <c r="N44" s="9">
        <f t="shared" si="101"/>
        <v>4682940.39882435</v>
      </c>
      <c r="O44" s="9">
        <f t="shared" si="101"/>
        <v>4679683.09109984</v>
      </c>
      <c r="P44" s="9">
        <f t="shared" si="101"/>
        <v>4676375.41516016</v>
      </c>
      <c r="Q44" s="9">
        <f t="shared" si="101"/>
        <v>4672517.15739383</v>
      </c>
      <c r="R44" s="9">
        <f t="shared" si="101"/>
        <v>4667802.12474147</v>
      </c>
      <c r="S44" s="9">
        <f t="shared" si="101"/>
        <v>4667802.12474147</v>
      </c>
      <c r="T44" s="9">
        <f t="shared" si="101"/>
        <v>4667802.12474147</v>
      </c>
      <c r="U44" s="9">
        <f t="shared" si="101"/>
        <v>4667802.12474147</v>
      </c>
      <c r="V44" s="9">
        <f t="shared" si="101"/>
        <v>4667802.12474147</v>
      </c>
      <c r="W44" s="9">
        <f t="shared" si="101"/>
        <v>4667802.12474147</v>
      </c>
      <c r="X44" s="9">
        <f t="shared" si="101"/>
        <v>4667802.12474147</v>
      </c>
      <c r="Y44" s="9">
        <f t="shared" si="101"/>
        <v>4652839.9198961</v>
      </c>
      <c r="Z44" s="9">
        <f t="shared" si="101"/>
        <v>4638590.20099573</v>
      </c>
      <c r="AA44" s="9">
        <f t="shared" si="101"/>
        <v>4625019.04013829</v>
      </c>
      <c r="AB44" s="9">
        <f t="shared" si="101"/>
        <v>4604727.74482407</v>
      </c>
      <c r="AC44" s="9">
        <f t="shared" si="101"/>
        <v>4585583.09893094</v>
      </c>
      <c r="AD44" s="9">
        <f t="shared" si="101"/>
        <v>4563217.85840165</v>
      </c>
      <c r="AE44" s="9">
        <f t="shared" si="101"/>
        <v>4538819.41418782</v>
      </c>
      <c r="AF44" s="9">
        <f t="shared" si="101"/>
        <v>4502512.20553633</v>
      </c>
      <c r="AG44" s="9">
        <f t="shared" si="101"/>
        <v>4440449.2216399</v>
      </c>
      <c r="AH44" s="9">
        <f t="shared" si="101"/>
        <v>4386010.185366</v>
      </c>
      <c r="AI44" s="9">
        <f t="shared" si="101"/>
        <v>4303377.12348046</v>
      </c>
      <c r="AJ44" s="9">
        <f t="shared" si="101"/>
        <v>4228528.47643549</v>
      </c>
      <c r="AK44" s="9">
        <f t="shared" si="101"/>
        <v>4137613.17165374</v>
      </c>
      <c r="AL44" s="9">
        <f t="shared" si="101"/>
        <v>4024674.20300313</v>
      </c>
      <c r="AM44" s="9">
        <f t="shared" si="101"/>
        <v>3899186.2718248</v>
      </c>
      <c r="AN44" s="9">
        <f t="shared" si="101"/>
        <v>3762785.9764</v>
      </c>
      <c r="AO44" s="9">
        <f t="shared" si="101"/>
        <v>3650057.1712</v>
      </c>
      <c r="AP44" s="9">
        <f t="shared" si="101"/>
        <v>3557657.1712</v>
      </c>
      <c r="AQ44" s="17">
        <v>3463656.0</v>
      </c>
    </row>
    <row r="45" spans="8:8" ht="32.25">
      <c r="A45" s="18">
        <v>1405.0</v>
      </c>
      <c r="B45" s="9">
        <f>B44*1.45+519549+166667</f>
        <v>7521660.93707808</v>
      </c>
      <c r="C45" s="9">
        <f t="shared" si="102" ref="C45:AQ45">C44*1.45+519549+166667</f>
        <v>7519013.37399182</v>
      </c>
      <c r="D45" s="9">
        <f t="shared" si="102"/>
        <v>7519013.37399182</v>
      </c>
      <c r="E45" s="9">
        <f t="shared" si="102"/>
        <v>7515042.02936251</v>
      </c>
      <c r="F45" s="9">
        <f t="shared" si="102"/>
        <v>7511070.68473319</v>
      </c>
      <c r="G45" s="9">
        <f t="shared" si="102"/>
        <v>7507099.34010388</v>
      </c>
      <c r="H45" s="9">
        <f t="shared" si="102"/>
        <v>7503127.99547451</v>
      </c>
      <c r="I45" s="9">
        <f t="shared" si="102"/>
        <v>7499818.54161675</v>
      </c>
      <c r="J45" s="9">
        <f t="shared" si="102"/>
        <v>7495185.30621587</v>
      </c>
      <c r="K45" s="9">
        <f t="shared" si="102"/>
        <v>7491593.04448294</v>
      </c>
      <c r="L45" s="9">
        <f t="shared" si="102"/>
        <v>7487249.72818038</v>
      </c>
      <c r="M45" s="9">
        <f t="shared" si="102"/>
        <v>7482256.95331457</v>
      </c>
      <c r="N45" s="9">
        <f t="shared" si="102"/>
        <v>7476479.57829531</v>
      </c>
      <c r="O45" s="9">
        <f t="shared" si="102"/>
        <v>7471756.48209477</v>
      </c>
      <c r="P45" s="9">
        <f t="shared" si="102"/>
        <v>7466960.35198223</v>
      </c>
      <c r="Q45" s="9">
        <f t="shared" si="102"/>
        <v>7461365.87822105</v>
      </c>
      <c r="R45" s="9">
        <f t="shared" si="102"/>
        <v>7454529.08087513</v>
      </c>
      <c r="S45" s="9">
        <f t="shared" si="102"/>
        <v>7454529.08087513</v>
      </c>
      <c r="T45" s="9">
        <f t="shared" si="102"/>
        <v>7454529.08087513</v>
      </c>
      <c r="U45" s="9">
        <f t="shared" si="102"/>
        <v>7454529.08087513</v>
      </c>
      <c r="V45" s="9">
        <f t="shared" si="102"/>
        <v>7454529.08087513</v>
      </c>
      <c r="W45" s="9">
        <f t="shared" si="102"/>
        <v>7454529.08087513</v>
      </c>
      <c r="X45" s="9">
        <f t="shared" si="102"/>
        <v>7454529.08087513</v>
      </c>
      <c r="Y45" s="9">
        <f t="shared" si="102"/>
        <v>7432833.88384934</v>
      </c>
      <c r="Z45" s="9">
        <f t="shared" si="102"/>
        <v>7412171.79144381</v>
      </c>
      <c r="AA45" s="9">
        <f t="shared" si="102"/>
        <v>7392493.60820052</v>
      </c>
      <c r="AB45" s="9">
        <f t="shared" si="102"/>
        <v>7363071.2299949</v>
      </c>
      <c r="AC45" s="9">
        <f t="shared" si="102"/>
        <v>7335311.49344986</v>
      </c>
      <c r="AD45" s="9">
        <f t="shared" si="102"/>
        <v>7302881.89468239</v>
      </c>
      <c r="AE45" s="9">
        <f t="shared" si="102"/>
        <v>7267504.15057234</v>
      </c>
      <c r="AF45" s="9">
        <f t="shared" si="102"/>
        <v>7214858.69802768</v>
      </c>
      <c r="AG45" s="9">
        <f t="shared" si="102"/>
        <v>7124867.37137785</v>
      </c>
      <c r="AH45" s="9">
        <f t="shared" si="102"/>
        <v>7045930.7687807</v>
      </c>
      <c r="AI45" s="9">
        <f t="shared" si="102"/>
        <v>6926112.82904667</v>
      </c>
      <c r="AJ45" s="9">
        <f t="shared" si="102"/>
        <v>6817582.29083146</v>
      </c>
      <c r="AK45" s="9">
        <f t="shared" si="102"/>
        <v>6685755.09889792</v>
      </c>
      <c r="AL45" s="9">
        <f t="shared" si="102"/>
        <v>6521993.59435454</v>
      </c>
      <c r="AM45" s="9">
        <f t="shared" si="102"/>
        <v>6340036.09414596</v>
      </c>
      <c r="AN45" s="9">
        <f t="shared" si="102"/>
        <v>6142255.66578</v>
      </c>
      <c r="AO45" s="9">
        <f t="shared" si="102"/>
        <v>5978798.89824</v>
      </c>
      <c r="AP45" s="9">
        <f t="shared" si="102"/>
        <v>5844818.89824</v>
      </c>
      <c r="AQ45" s="9">
        <f t="shared" si="102"/>
        <v>5708517.2</v>
      </c>
      <c r="AR45" s="17">
        <v>5541850.0</v>
      </c>
    </row>
    <row r="46" spans="8:8" ht="32.25">
      <c r="A46" s="9"/>
      <c r="B46" s="19">
        <v>1363.0</v>
      </c>
      <c r="C46" s="19">
        <v>1364.0</v>
      </c>
      <c r="D46" s="19">
        <v>1365.0</v>
      </c>
      <c r="E46" s="19">
        <v>1366.0</v>
      </c>
      <c r="F46" s="19">
        <v>1367.0</v>
      </c>
      <c r="G46" s="19">
        <v>1368.0</v>
      </c>
      <c r="H46" s="19">
        <v>1369.0</v>
      </c>
      <c r="I46" s="19">
        <v>1370.0</v>
      </c>
      <c r="J46" s="19">
        <v>1371.0</v>
      </c>
      <c r="K46" s="19">
        <v>1372.0</v>
      </c>
      <c r="L46" s="19">
        <v>1373.0</v>
      </c>
      <c r="M46" s="19">
        <v>1374.0</v>
      </c>
      <c r="N46" s="19">
        <v>1375.0</v>
      </c>
      <c r="O46" s="19">
        <v>1376.0</v>
      </c>
      <c r="P46" s="19">
        <v>1377.0</v>
      </c>
      <c r="Q46" s="19">
        <v>1378.0</v>
      </c>
      <c r="R46" s="19">
        <v>1379.0</v>
      </c>
      <c r="S46" s="19">
        <v>1380.0</v>
      </c>
      <c r="T46" s="19">
        <v>1381.0</v>
      </c>
      <c r="U46" s="19">
        <v>1382.0</v>
      </c>
      <c r="V46" s="19">
        <v>1383.0</v>
      </c>
      <c r="W46" s="19">
        <v>1384.0</v>
      </c>
      <c r="X46" s="19">
        <v>1385.0</v>
      </c>
      <c r="Y46" s="19">
        <v>1386.0</v>
      </c>
      <c r="Z46" s="19">
        <v>1387.0</v>
      </c>
      <c r="AA46" s="19">
        <v>1388.0</v>
      </c>
      <c r="AB46" s="19">
        <v>1389.0</v>
      </c>
      <c r="AC46" s="19">
        <v>1390.0</v>
      </c>
      <c r="AD46" s="19">
        <v>1391.0</v>
      </c>
      <c r="AE46" s="19">
        <v>1392.0</v>
      </c>
      <c r="AF46" s="19">
        <v>1393.0</v>
      </c>
      <c r="AG46" s="19">
        <v>1394.0</v>
      </c>
      <c r="AH46" s="19">
        <v>1395.0</v>
      </c>
      <c r="AI46" s="19">
        <v>1396.0</v>
      </c>
      <c r="AJ46" s="19">
        <v>1397.0</v>
      </c>
      <c r="AK46" s="19">
        <v>1398.0</v>
      </c>
      <c r="AL46" s="19">
        <v>1399.0</v>
      </c>
      <c r="AM46" s="19">
        <v>1400.0</v>
      </c>
      <c r="AN46" s="19">
        <v>1401.0</v>
      </c>
      <c r="AO46" s="19">
        <v>1402.0</v>
      </c>
      <c r="AP46" s="19">
        <v>1403.0</v>
      </c>
      <c r="AQ46" s="19">
        <v>1404.0</v>
      </c>
      <c r="AR46" s="19">
        <v>1405.0</v>
      </c>
    </row>
  </sheetData>
  <mergeCells count="3">
    <mergeCell ref="J1:X6"/>
    <mergeCell ref="J7:X7"/>
    <mergeCell ref="J8:X9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H18"/>
  <sheetViews>
    <sheetView tabSelected="1" workbookViewId="0" zoomScale="30">
      <selection activeCell="F10" sqref="F10"/>
    </sheetView>
  </sheetViews>
  <sheetFormatPr defaultRowHeight="15.0" defaultColWidth="10"/>
  <cols>
    <col min="1" max="1" customWidth="1" width="29.570312" style="0"/>
    <col min="2" max="2" customWidth="1" width="21.425781" style="0"/>
    <col min="3" max="3" hidden="1" customWidth="1" width="9.140625" style="0"/>
    <col min="5" max="5" customWidth="1" width="23.285156" style="0"/>
    <col min="6" max="6" customWidth="1" width="17.425781" style="0"/>
    <col min="7" max="7" customWidth="1" width="84.28516" style="0"/>
  </cols>
  <sheetData>
    <row r="1" spans="8:8" ht="36.75" customHeight="1">
      <c r="A1" s="20" t="s">
        <v>2</v>
      </c>
      <c r="B1" s="20"/>
      <c r="C1" s="20"/>
      <c r="D1" s="20"/>
      <c r="E1" s="20"/>
      <c r="F1" s="20"/>
      <c r="G1" s="20"/>
    </row>
    <row r="2" spans="8:8" ht="45.0" customHeight="1">
      <c r="A2" s="21" t="s">
        <v>46</v>
      </c>
      <c r="B2" s="22"/>
      <c r="E2" s="23" t="s">
        <v>16</v>
      </c>
      <c r="F2" s="24">
        <v>5541850.0</v>
      </c>
      <c r="G2" s="25" t="s">
        <v>35</v>
      </c>
    </row>
    <row r="3" spans="8:8" ht="27.75">
      <c r="A3" s="26" t="s">
        <v>5</v>
      </c>
      <c r="B3" s="27">
        <f>F2</f>
        <v>5541850.0</v>
      </c>
      <c r="E3" s="28" t="s">
        <v>13</v>
      </c>
      <c r="F3" s="29">
        <v>31.0</v>
      </c>
      <c r="G3" s="30" t="s">
        <v>30</v>
      </c>
    </row>
    <row r="4" spans="8:8" ht="27.75">
      <c r="A4" s="31" t="s">
        <v>6</v>
      </c>
      <c r="B4" s="32">
        <f>B3*F3</f>
        <v>1.7179735E8</v>
      </c>
      <c r="E4" s="28" t="s">
        <v>19</v>
      </c>
      <c r="F4" s="29">
        <v>1.0</v>
      </c>
      <c r="G4" s="30" t="s">
        <v>20</v>
      </c>
    </row>
    <row r="5" spans="8:8" ht="27.75">
      <c r="A5" s="31" t="s">
        <v>18</v>
      </c>
      <c r="B5" s="32">
        <f>5541850*3*F4*(IF(F3=31,30,F3))/30</f>
        <v>1.662555E7</v>
      </c>
      <c r="E5" s="28" t="s">
        <v>12</v>
      </c>
      <c r="F5" s="33">
        <v>10.0</v>
      </c>
      <c r="G5" s="30" t="s">
        <v>14</v>
      </c>
    </row>
    <row r="6" spans="8:8" ht="27.75">
      <c r="A6" s="31" t="s">
        <v>7</v>
      </c>
      <c r="B6" s="32">
        <f>22000000*(IF(F3=31,30,F3))/30</f>
        <v>2.2E7</v>
      </c>
      <c r="E6" s="34" t="s">
        <v>15</v>
      </c>
      <c r="F6" s="35">
        <v>2.0E8</v>
      </c>
      <c r="G6" s="36" t="s">
        <v>34</v>
      </c>
    </row>
    <row r="7" spans="8:8" ht="23.25" customHeight="1">
      <c r="A7" s="31" t="s">
        <v>8</v>
      </c>
      <c r="B7" s="32">
        <f>30000000*(IF(F3=31,30,F3))/30</f>
        <v>3.0E7</v>
      </c>
      <c r="E7" s="34" t="s">
        <v>24</v>
      </c>
      <c r="F7" s="35">
        <v>1.0E7</v>
      </c>
      <c r="G7" s="36" t="s">
        <v>26</v>
      </c>
    </row>
    <row r="8" spans="8:8" ht="21.75" customHeight="1">
      <c r="A8" s="31" t="s">
        <v>9</v>
      </c>
      <c r="B8" s="37">
        <f>IF(IF(C8=FALSE,0,(B4+B12)*2/12)*((IF(F3=31,30,F3))/30)&gt;41563875,41563875,IF(C8=FALSE,0,(B4+B12)*2/12)*((IF(F3=31,30,F3))/30))</f>
        <v>4.1563875E7</v>
      </c>
      <c r="C8" s="38" t="b">
        <v>1</v>
      </c>
      <c r="E8" s="34" t="s">
        <v>31</v>
      </c>
      <c r="F8" s="35">
        <v>2.0</v>
      </c>
      <c r="G8" s="36" t="s">
        <v>27</v>
      </c>
    </row>
    <row r="9" spans="8:8" ht="25.5" customHeight="1">
      <c r="A9" s="39" t="s">
        <v>10</v>
      </c>
      <c r="B9" s="37">
        <f>IF(C9=FALSE,0,(B4+B12)/12)*((IF(F3=31,30,F3))/30)</f>
        <v>3.09831125E7</v>
      </c>
      <c r="C9" s="38" t="b">
        <v>1</v>
      </c>
      <c r="G9" s="40" t="s">
        <v>45</v>
      </c>
    </row>
    <row r="10" spans="8:8" ht="24.75" customHeight="1">
      <c r="A10" s="31" t="s">
        <v>11</v>
      </c>
      <c r="B10" s="41">
        <f>(B3+F6/30)/7.33*1.4*F5</f>
        <v>2.331776716689404E7</v>
      </c>
      <c r="G10" s="42"/>
    </row>
    <row r="11" spans="8:8" ht="24.75" customHeight="1">
      <c r="A11" s="31" t="s">
        <v>22</v>
      </c>
      <c r="B11" s="41">
        <f>IF(C11=FALSE,0,5000000)*((IF(F3=31,30,F3))/30)</f>
        <v>5000000.0</v>
      </c>
      <c r="C11" s="38" t="b">
        <v>1</v>
      </c>
      <c r="G11" s="43"/>
    </row>
    <row r="12" spans="8:8" ht="24.0" customHeight="1">
      <c r="A12" s="31" t="s">
        <v>17</v>
      </c>
      <c r="B12" s="41">
        <f>F6</f>
        <v>2.0E8</v>
      </c>
      <c r="G12" s="43"/>
    </row>
    <row r="13" spans="8:8" ht="24.0" customHeight="1">
      <c r="A13" s="31" t="s">
        <v>25</v>
      </c>
      <c r="B13" s="41">
        <f>F7</f>
        <v>1.0E7</v>
      </c>
      <c r="E13" s="44"/>
      <c r="G13" s="43"/>
    </row>
    <row r="14" spans="8:8" ht="24.0" customHeight="1">
      <c r="A14" s="31" t="s">
        <v>23</v>
      </c>
      <c r="B14" s="41">
        <f>F8*B3</f>
        <v>1.10837E7</v>
      </c>
      <c r="G14" s="43"/>
    </row>
    <row r="15" spans="8:8" ht="24.75">
      <c r="A15" s="31" t="s">
        <v>28</v>
      </c>
      <c r="B15" s="45">
        <f>SUM(B4:B14)</f>
        <v>5.62371354666894E8</v>
      </c>
    </row>
    <row r="16" spans="8:8" ht="24.75">
      <c r="A16" s="31" t="s">
        <v>32</v>
      </c>
      <c r="B16" s="45">
        <f>SUM(B4+B10+B12+B6+B7+B11)*0.07</f>
        <v>3.164805820168259E7</v>
      </c>
      <c r="E16" s="44" t="s">
        <v>36</v>
      </c>
    </row>
    <row r="17" spans="8:8" ht="24.75">
      <c r="A17" s="46" t="s">
        <v>33</v>
      </c>
      <c r="B17" s="47">
        <f>'محاسبه مالیات'!D9</f>
        <v>3709260.89652114</v>
      </c>
    </row>
    <row r="18" spans="8:8" ht="25.5">
      <c r="A18" s="48" t="s">
        <v>29</v>
      </c>
      <c r="B18" s="49">
        <f>B15-B16-B17</f>
        <v>5.270140355686898E8</v>
      </c>
    </row>
  </sheetData>
  <sheetProtection algorithmName="SHA-512" hashValue="+gAFv/MBRBOyr2TEwaGjQTiGe6Q5VQ9FkY6jAXf9WHzoAeROWYdSclSY5xkj0dz1d8JO/A/GyUzQOHmrILj2Iw==" saltValue="bcATtuy9puu/u5ei4JvlKQ==" spinCount="100000" sheet="1" objects="1" scenarios="1"/>
  <mergeCells count="2">
    <mergeCell ref="A1:G1"/>
    <mergeCell ref="A2:B2"/>
  </mergeCells>
  <dataValidations count="2">
    <dataValidation allowBlank="1" type="whole" operator="between" errorStyle="stop" showInputMessage="1" showErrorMessage="1" errorTitle="خطای ورود تعداد روزهای کارکرد" error="تعداد روزها می بایست بین 0تا 31 باشد." sqref="F3">
      <formula1>0</formula1>
      <formula2>31</formula2>
    </dataValidation>
    <dataValidation allowBlank="1" type="whole" operator="greaterThanOrEqual" errorStyle="stop" showInputMessage="1" showErrorMessage="1" errorTitle="خطای تعداد فرزند" error="تعداد فرزند نمی تواند منفی باشد." sqref="F4">
      <formula1>0</formula1>
    </dataValidation>
  </dataValidations>
  <hyperlinks>
    <hyperlink ref="E16" r:id="rId2"/>
  </hyperlinks>
  <pageMargins left="0.7" right="0.7" top="0.75" bottom="0.75" header="0.3" footer="0.3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E9"/>
  <sheetViews>
    <sheetView workbookViewId="0" zoomScale="250">
      <selection activeCell="D3" sqref="D3"/>
    </sheetView>
  </sheetViews>
  <sheetFormatPr defaultRowHeight="15.0" defaultColWidth="10"/>
  <cols>
    <col min="1" max="2" customWidth="0" width="9.140625" style="6"/>
    <col min="3" max="3" customWidth="1" width="18.285156" style="6"/>
    <col min="4" max="4" customWidth="1" width="18.0" style="6"/>
    <col min="5" max="16384" customWidth="0" width="9.140625" style="6"/>
  </cols>
  <sheetData>
    <row r="1" spans="8:8" ht="16.5">
      <c r="A1" s="50" t="s">
        <v>2</v>
      </c>
      <c r="B1" s="50"/>
      <c r="C1" s="50"/>
      <c r="D1" s="50"/>
    </row>
    <row r="2" spans="8:8" ht="21.75">
      <c r="A2" s="51" t="s">
        <v>37</v>
      </c>
      <c r="B2" s="51"/>
      <c r="C2" s="51"/>
      <c r="D2" s="51"/>
    </row>
    <row r="3" spans="8:8" ht="28.5">
      <c r="A3" s="52" t="s">
        <v>1</v>
      </c>
      <c r="B3" s="53"/>
      <c r="C3" s="54"/>
      <c r="D3" s="55">
        <v>1404.0</v>
      </c>
    </row>
    <row r="4" spans="8:8" ht="28.5">
      <c r="A4" s="52" t="s">
        <v>0</v>
      </c>
      <c r="B4" s="53"/>
      <c r="C4" s="54"/>
      <c r="D4" s="55">
        <v>1404.0</v>
      </c>
    </row>
    <row r="5" spans="8:8" ht="28.5">
      <c r="A5" s="56" t="s">
        <v>4</v>
      </c>
      <c r="B5" s="57"/>
      <c r="C5" s="58"/>
      <c r="D5" s="59">
        <f>IF(D3&gt;D4,"اشتباه",INDEX(جدول!A1:AR46,'محاسبه سریع'!D4-1360,'محاسبه سریع'!D3-1361))</f>
        <v>3463656.0</v>
      </c>
    </row>
    <row r="6" spans="8:8" ht="15.0" customHeight="1">
      <c r="A6" s="60" t="str">
        <f>IF(D3&gt;D4,"سال استخدام نباید بالاتر از سال محاسبه دستمزد وارد شود","")</f>
        <v/>
      </c>
      <c r="B6" s="60"/>
      <c r="C6" s="60"/>
      <c r="D6" s="60"/>
    </row>
    <row r="7" spans="8:8" ht="15.0" customHeight="1">
      <c r="A7" s="61"/>
      <c r="B7" s="61"/>
      <c r="C7" s="61"/>
      <c r="D7" s="61"/>
    </row>
    <row r="8" spans="8:8">
      <c r="A8" s="61"/>
      <c r="B8" s="61"/>
      <c r="C8" s="61"/>
      <c r="D8" s="61"/>
    </row>
    <row r="9" spans="8:8">
      <c r="A9" s="61"/>
      <c r="B9" s="61"/>
      <c r="C9" s="61"/>
      <c r="D9" s="61"/>
    </row>
  </sheetData>
  <mergeCells count="6">
    <mergeCell ref="A1:D1"/>
    <mergeCell ref="A2:D2"/>
    <mergeCell ref="A3:C3"/>
    <mergeCell ref="A4:C4"/>
    <mergeCell ref="A5:C5"/>
    <mergeCell ref="A6:D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allowBlank="1" type="list" errorStyle="stop" showInputMessage="1" showErrorMessage="1">
          <x14:formula1>
            <xm:f>جدول!$A$3:$A$45</xm:f>
          </x14:formula1>
          <xm:sqref>D3</xm:sqref>
        </x14:dataValidation>
        <x14:dataValidation allowBlank="1" type="list" errorStyle="stop" showInputMessage="1" showErrorMessage="1">
          <x14:formula1>
            <xm:f>جدول!$B$46:$AR$46</xm:f>
          </x14:formula1>
          <xm:sqref>D4</xm:sqref>
        </x14:dataValidation>
      </x14:dataValidations>
    </ext>
  </extLst>
</worksheet>
</file>

<file path=xl/worksheets/sheet4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selection activeCell="B9" sqref="B9"/>
    </sheetView>
  </sheetViews>
  <sheetFormatPr defaultRowHeight="15.0" defaultColWidth="10"/>
  <cols>
    <col min="1" max="1" customWidth="1" width="29.570312" style="0"/>
    <col min="2" max="2" customWidth="1" width="17.425781" style="0"/>
    <col min="3" max="3" customWidth="1" width="15.7109375" style="0"/>
    <col min="4" max="4" customWidth="1" width="18.285156" style="0"/>
  </cols>
  <sheetData>
    <row r="2" spans="8:8">
      <c r="A2" s="62" t="s">
        <v>39</v>
      </c>
      <c r="B2" s="63">
        <f>IF(B9-400000000&lt;=0,0,B9-400000000)</f>
        <v>3.709260896521139E7</v>
      </c>
      <c r="C2" s="64">
        <f>B9-B2</f>
        <v>3.999999999999996E8</v>
      </c>
      <c r="D2" s="64">
        <f>C2*0</f>
        <v>0.0</v>
      </c>
    </row>
    <row r="3" spans="8:8">
      <c r="A3" s="62" t="s">
        <v>40</v>
      </c>
      <c r="B3" s="63">
        <f>IF(B2-400000000&lt;=0,0,B2-400000000)</f>
        <v>0.0</v>
      </c>
      <c r="C3" s="64">
        <f>B2-B3</f>
        <v>3.70926089652114E7</v>
      </c>
      <c r="D3" s="64">
        <f>C3*0.1</f>
        <v>3709260.89652114</v>
      </c>
    </row>
    <row r="4" spans="8:8">
      <c r="A4" s="62" t="s">
        <v>41</v>
      </c>
      <c r="B4" s="63">
        <f>IF(B3-200000000&lt;=0,0,B3-200000000)</f>
        <v>0.0</v>
      </c>
      <c r="C4" s="64">
        <f>B3-B4</f>
        <v>0.0</v>
      </c>
      <c r="D4" s="64">
        <f>C4*0.15</f>
        <v>0.0</v>
      </c>
    </row>
    <row r="5" spans="8:8">
      <c r="A5" s="62" t="s">
        <v>42</v>
      </c>
      <c r="B5" s="63">
        <f>IF(B4-200000000&lt;=0,0,B4-200000000)</f>
        <v>0.0</v>
      </c>
      <c r="C5" s="64">
        <f>B4-B5</f>
        <v>0.0</v>
      </c>
      <c r="D5" s="64">
        <f>C5*0.2</f>
        <v>0.0</v>
      </c>
    </row>
    <row r="6" spans="8:8">
      <c r="A6" s="62" t="s">
        <v>43</v>
      </c>
      <c r="B6" s="63">
        <f>IF(B5-200000000&lt;=0,0,B5-200000000)</f>
        <v>0.0</v>
      </c>
      <c r="C6" s="64">
        <f>B5-B6</f>
        <v>0.0</v>
      </c>
      <c r="D6" s="64">
        <f>C6*0.25</f>
        <v>0.0</v>
      </c>
    </row>
    <row r="7" spans="8:8">
      <c r="A7" s="62" t="s">
        <v>44</v>
      </c>
      <c r="B7" s="63">
        <f>IF(B9-1400000000&lt;=0,0,B9-1400000000)</f>
        <v>0.0</v>
      </c>
      <c r="C7" s="64">
        <f>B6</f>
        <v>0.0</v>
      </c>
      <c r="D7" s="64">
        <f>C7*0.3</f>
        <v>0.0</v>
      </c>
    </row>
    <row r="8" spans="8:8">
      <c r="D8" s="64"/>
    </row>
    <row r="9" spans="8:8">
      <c r="A9" t="s">
        <v>21</v>
      </c>
      <c r="B9" s="63">
        <f>'فیش حقوق ماهانه 1405'!B4+'فیش حقوق ماهانه 1405'!B5+'فیش حقوق ماهانه 1405'!B6+'فیش حقوق ماهانه 1405'!B7+'فیش حقوق ماهانه 1405'!B10+'فیش حقوق ماهانه 1405'!B12+'فیش حقوق ماهانه 1405'!B11-'فیش حقوق ماهانه 1405'!B16</f>
        <v>4.370926089652114E8</v>
      </c>
      <c r="C9" s="64">
        <f>SUM(C2:C7)</f>
        <v>4.37092608965211E8</v>
      </c>
      <c r="D9" s="64">
        <f>SUM(D2:D7)</f>
        <v>3709260.89652114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akhavan</dc:creator>
  <cp:lastModifiedBy>ali akhavan</cp:lastModifiedBy>
  <dcterms:created xsi:type="dcterms:W3CDTF">۲۰۱۸-۰۴-۲۰T۱۲:۵۴:۱۰Z</dcterms:created>
  <dcterms:modified xsi:type="dcterms:W3CDTF">۲۰۲۶-۰۳-۳۰T۰۶:۲۶:۴۳Z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4f6bade63d41471fa0cf389b53a699ce</vt:lpwstr>
  </property>
</Properties>
</file>