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defaultThemeVersion="124226"/>
  <xr:revisionPtr revIDLastSave="0" documentId="8_{D5696756-E472-3E49-B966-42F8A6AC4B06}" xr6:coauthVersionLast="47" xr6:coauthVersionMax="47" xr10:uidLastSave="{00000000-0000-0000-0000-000000000000}"/>
  <workbookProtection workbookPassword="D3A0" lockStructure="1"/>
  <bookViews>
    <workbookView xWindow="240" yWindow="105" windowWidth="20115" windowHeight="8505" firstSheet="1" activeTab="1" xr2:uid="{00000000-000D-0000-FFFF-FFFF00000000}"/>
  </bookViews>
  <sheets>
    <sheet name="جدول" sheetId="1" state="hidden" r:id="rId1"/>
    <sheet name="جدول حقوق ماهانه 1404" sheetId="3" r:id="rId2"/>
    <sheet name="محاسبه سریع" sheetId="2" r:id="rId3"/>
    <sheet name="محاسبه مالیات" sheetId="4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F34" i="1"/>
  <c r="AF35" i="1"/>
  <c r="AF36" i="1"/>
  <c r="AF37" i="1"/>
  <c r="AF38" i="1"/>
  <c r="AF39" i="1"/>
  <c r="AF40" i="1"/>
  <c r="AF41" i="1"/>
  <c r="AF42" i="1"/>
  <c r="AF43" i="1"/>
  <c r="AF44" i="1"/>
  <c r="AG35" i="1"/>
  <c r="AG36" i="1"/>
  <c r="AG37" i="1"/>
  <c r="AG38" i="1"/>
  <c r="AG39" i="1"/>
  <c r="AG40" i="1"/>
  <c r="AG41" i="1"/>
  <c r="AG42" i="1"/>
  <c r="AG43" i="1"/>
  <c r="AG44" i="1"/>
  <c r="AH36" i="1"/>
  <c r="AH37" i="1"/>
  <c r="AH38" i="1"/>
  <c r="AH39" i="1"/>
  <c r="AH40" i="1"/>
  <c r="AH41" i="1"/>
  <c r="AH42" i="1"/>
  <c r="AH43" i="1"/>
  <c r="AH44" i="1"/>
  <c r="AI37" i="1"/>
  <c r="AI38" i="1"/>
  <c r="AI39" i="1"/>
  <c r="AI40" i="1"/>
  <c r="AI41" i="1"/>
  <c r="AI42" i="1"/>
  <c r="AI43" i="1"/>
  <c r="AI44" i="1"/>
  <c r="AJ38" i="1"/>
  <c r="AJ39" i="1"/>
  <c r="AJ40" i="1"/>
  <c r="AJ41" i="1"/>
  <c r="AJ42" i="1"/>
  <c r="AJ43" i="1"/>
  <c r="AJ44" i="1"/>
  <c r="AK39" i="1"/>
  <c r="AK40" i="1"/>
  <c r="AK41" i="1"/>
  <c r="AK42" i="1"/>
  <c r="AK43" i="1"/>
  <c r="AK44" i="1"/>
  <c r="AL40" i="1"/>
  <c r="AL41" i="1"/>
  <c r="AL42" i="1"/>
  <c r="AL43" i="1"/>
  <c r="AL44" i="1"/>
  <c r="AM41" i="1"/>
  <c r="AM42" i="1"/>
  <c r="AM43" i="1"/>
  <c r="AM44" i="1"/>
  <c r="AN42" i="1"/>
  <c r="AN43" i="1"/>
  <c r="AN44" i="1"/>
  <c r="AO43" i="1"/>
  <c r="AO44" i="1"/>
  <c r="AP43" i="1"/>
  <c r="AP44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6" i="3"/>
  <c r="B5" i="3"/>
  <c r="B11" i="3"/>
  <c r="B13" i="3"/>
  <c r="B12" i="3"/>
  <c r="B3" i="3"/>
  <c r="B14" i="3"/>
  <c r="B10" i="3"/>
  <c r="B7" i="3"/>
  <c r="B4" i="3"/>
  <c r="B16" i="3"/>
  <c r="B8" i="3"/>
  <c r="B9" i="3"/>
  <c r="B9" i="4"/>
  <c r="B7" i="4"/>
  <c r="B15" i="3"/>
  <c r="B2" i="4"/>
  <c r="B3" i="4"/>
  <c r="B4" i="4"/>
  <c r="B5" i="4"/>
  <c r="B6" i="4"/>
  <c r="C2" i="4"/>
  <c r="D2" i="4"/>
  <c r="C6" i="4"/>
  <c r="D6" i="4"/>
  <c r="C7" i="4"/>
  <c r="D7" i="4"/>
  <c r="C4" i="4"/>
  <c r="D4" i="4"/>
  <c r="C3" i="4"/>
  <c r="D3" i="4"/>
  <c r="A6" i="2"/>
  <c r="W25" i="1"/>
  <c r="V24" i="1"/>
  <c r="V25" i="1"/>
  <c r="U23" i="1"/>
  <c r="U24" i="1"/>
  <c r="U25" i="1"/>
  <c r="T22" i="1"/>
  <c r="T23" i="1"/>
  <c r="T24" i="1"/>
  <c r="T25" i="1"/>
  <c r="S21" i="1"/>
  <c r="S22" i="1"/>
  <c r="S23" i="1"/>
  <c r="S24" i="1"/>
  <c r="S25" i="1"/>
  <c r="R20" i="1"/>
  <c r="R21" i="1"/>
  <c r="R22" i="1"/>
  <c r="R23" i="1"/>
  <c r="R24" i="1"/>
  <c r="R25" i="1"/>
  <c r="C5" i="4"/>
  <c r="D5" i="4"/>
  <c r="D9" i="4"/>
  <c r="B17" i="3"/>
  <c r="B18" i="3"/>
  <c r="C9" i="4"/>
</calcChain>
</file>

<file path=xl/sharedStrings.xml><?xml version="1.0" encoding="utf-8"?>
<sst xmlns="http://schemas.openxmlformats.org/spreadsheetml/2006/main" count="47" uniqueCount="46">
  <si>
    <t>سال محاسبه دستمزد:</t>
  </si>
  <si>
    <t>سال استخدام:</t>
  </si>
  <si>
    <t>علی اخوان مهدوی-رئیس بازرسی کار گلستان</t>
  </si>
  <si>
    <r>
      <t>تهیه و تنظیم :</t>
    </r>
    <r>
      <rPr>
        <b/>
        <sz val="32"/>
        <color rgb="FFFF0000"/>
        <rFont val="B Titr"/>
        <charset val="178"/>
      </rPr>
      <t>علی اخوان مهدوی</t>
    </r>
    <r>
      <rPr>
        <b/>
        <sz val="32"/>
        <color theme="1"/>
        <rFont val="B Titr"/>
        <charset val="178"/>
      </rPr>
      <t xml:space="preserve"> رئیس بازرسی کار   استان گلستان</t>
    </r>
  </si>
  <si>
    <t>دستمزد روزانه با احتساب پایه سنوات:</t>
  </si>
  <si>
    <t>مزد روزانه با احتساب پایه سنوات</t>
  </si>
  <si>
    <t>حقوق</t>
  </si>
  <si>
    <t>بن</t>
  </si>
  <si>
    <t>مسکن</t>
  </si>
  <si>
    <t>عیدی</t>
  </si>
  <si>
    <t>سنوات</t>
  </si>
  <si>
    <t>اضافه کار</t>
  </si>
  <si>
    <t>ساعت اضافه کاری</t>
  </si>
  <si>
    <t xml:space="preserve"> کارکرد ماهانه(روز) </t>
  </si>
  <si>
    <t>ساعت اضافه کاری در ماه را وارد کنید</t>
  </si>
  <si>
    <t>سایر مزایا(ریال)</t>
  </si>
  <si>
    <t>مزد روزانه(ریال)</t>
  </si>
  <si>
    <t>سایر مزایای به تبع شغل</t>
  </si>
  <si>
    <t>عائله مندی</t>
  </si>
  <si>
    <t>تعداد فرزند مشمول</t>
  </si>
  <si>
    <t>به شرط دارا بودن 720 روز سابقه بیمه تعداد فرزند مشمول (کوچکتر از 18 سال و...)را وارد کنید</t>
  </si>
  <si>
    <t>مشمول مالیات</t>
  </si>
  <si>
    <t>فقط سلولهای سبز رنگ را انتخاب یا وارد نمایید</t>
  </si>
  <si>
    <t>جدول دستمزد با احتساب پایه سنوات کارگران از سال 63 لغایت سال 1403</t>
  </si>
  <si>
    <t>حق تاهل</t>
  </si>
  <si>
    <t>حق ماموریت</t>
  </si>
  <si>
    <t>حق ایاب و ذهاب(ریال)</t>
  </si>
  <si>
    <t>هزینه ایاب و ذهاب</t>
  </si>
  <si>
    <t>هزینه ایاب و ذهاب(هزینه های رفت و برگشت به کارگاهی که خارج از محدوده بوده و هزینه رفت و برگشت به  محل ماموریت)</t>
  </si>
  <si>
    <t>حق ماموریت(موضوع ماده 46 قانون کار)</t>
  </si>
  <si>
    <t>جمع ناخالص حقوق</t>
  </si>
  <si>
    <t>جمع خالص پس از کسر کسورات</t>
  </si>
  <si>
    <t>ماههای 31 روزه و 30 روزه و 29 روزه را تعیین کنید ومرخصی بدون حقوق را از روزهای کارکردکم کنید</t>
  </si>
  <si>
    <t>تعداد روزهای ماموریت(روز)</t>
  </si>
  <si>
    <t>کمتر از24</t>
  </si>
  <si>
    <t>24-30</t>
  </si>
  <si>
    <t>30-38</t>
  </si>
  <si>
    <t>38-50</t>
  </si>
  <si>
    <t>50-66</t>
  </si>
  <si>
    <t>بیش از 66</t>
  </si>
  <si>
    <t>کسورات بیمه 1404</t>
  </si>
  <si>
    <t>کسورات مالیات 1404</t>
  </si>
  <si>
    <t>مجموع سایر مزایای به تبع شغل (فوق العاده های مدیریت، جذب، سختی کار،شب کاری،نوبت کاری و...) را وارد کنید(ماهانه)</t>
  </si>
  <si>
    <t>میتوانید حداقل مزد روزانه را برحسب سنوات از تب "محاسبه سریع"  برداشت کنید و یا در صورت اجرای طرح طبقه بندی، مزد مبنا به همراه پایه سنوات را وارد کنید و درصورتی که مزد شما بالاتر از حداقل می باشد عدد مربوطه را وارد کنید.</t>
  </si>
  <si>
    <t>https://shenasname.ir/</t>
  </si>
  <si>
    <t>محاسبه دستمزد روزانه با احتساب پایه سنوات کارگران از سال 63 لغایت سال 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</si>
</sst>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.00_-;_-* #,##0.00\-;_-* &quot;-&quot;??_-;_-@_-"/>
    <numFmt numFmtId="166" formatCode="0_ ;\-0\ "/>
    <numFmt numFmtId="167" formatCode="_-* #,##0_-;_-* #,##0\-;_-* &quot;-&quot;??_-;_-@_-"/>
    <numFmt numFmtId="168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b/>
      <sz val="18"/>
      <color theme="1"/>
      <name val="B Titr"/>
      <charset val="178"/>
    </font>
    <font>
      <b/>
      <sz val="16"/>
      <color theme="1"/>
      <name val="B Titr"/>
      <charset val="178"/>
    </font>
    <font>
      <b/>
      <sz val="36"/>
      <color theme="1"/>
      <name val="B Titr"/>
      <charset val="178"/>
    </font>
    <font>
      <b/>
      <sz val="16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b/>
      <sz val="32"/>
      <color theme="1"/>
      <name val="B Titr"/>
      <charset val="178"/>
    </font>
    <font>
      <sz val="16"/>
      <color rgb="FFFF0000"/>
      <name val="2  Titr"/>
      <charset val="178"/>
    </font>
    <font>
      <b/>
      <sz val="32"/>
      <color rgb="FFFF0000"/>
      <name val="B Titr"/>
      <charset val="178"/>
    </font>
    <font>
      <sz val="11"/>
      <color theme="1"/>
      <name val="Calibri"/>
      <family val="2"/>
      <scheme val="minor"/>
    </font>
    <font>
      <sz val="22"/>
      <color rgb="FF00B050"/>
      <name val="2  Titr"/>
      <charset val="178"/>
    </font>
    <font>
      <sz val="14"/>
      <color rgb="FF00B050"/>
      <name val="2  Titr"/>
      <charset val="178"/>
    </font>
    <font>
      <u/>
      <sz val="11"/>
      <color theme="10"/>
      <name val="Calibri"/>
      <family val="2"/>
      <scheme val="minor"/>
    </font>
    <font>
      <sz val="10"/>
      <color rgb="FFFF0000"/>
      <name val="B Titr"/>
      <charset val="178"/>
    </font>
    <font>
      <sz val="11"/>
      <color rgb="FFFF0000"/>
      <name val="B Titr"/>
      <charset val="178"/>
    </font>
    <font>
      <sz val="20"/>
      <color theme="0"/>
      <name val="B Elham"/>
      <charset val="178"/>
    </font>
    <font>
      <sz val="16"/>
      <color theme="1"/>
      <name val="B Lotus"/>
      <charset val="178"/>
    </font>
    <font>
      <sz val="11"/>
      <color theme="1"/>
      <name val="B Titr"/>
      <charset val="178"/>
    </font>
    <font>
      <sz val="22"/>
      <color rgb="FF00B050"/>
      <name val="B Titr"/>
      <charset val="178"/>
    </font>
    <font>
      <sz val="14"/>
      <color theme="1"/>
      <name val="B Lotus"/>
      <charset val="178"/>
    </font>
    <font>
      <sz val="14"/>
      <color theme="1"/>
      <name val="B Titr"/>
      <charset val="178"/>
    </font>
    <font>
      <sz val="11"/>
      <color theme="1"/>
      <name val="B Hamid"/>
      <charset val="178"/>
    </font>
    <font>
      <sz val="11"/>
      <color theme="0"/>
      <name val="B Elham"/>
      <charset val="17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9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3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3" fontId="2" fillId="2" borderId="1" xfId="0" applyNumberFormat="1" applyFont="1" applyFill="1" applyBorder="1" applyAlignment="1" applyProtection="1">
      <alignment horizontal="center" vertical="center"/>
      <protection hidden="1"/>
    </xf>
    <xf numFmtId="3" fontId="2" fillId="4" borderId="1" xfId="0" applyNumberFormat="1" applyFont="1" applyFill="1" applyBorder="1" applyAlignment="1" applyProtection="1">
      <alignment horizontal="center" vertical="center"/>
      <protection hidden="1"/>
    </xf>
    <xf numFmtId="3" fontId="2" fillId="0" borderId="0" xfId="0" applyNumberFormat="1" applyFont="1" applyAlignment="1" applyProtection="1">
      <alignment horizontal="center" vertical="center"/>
      <protection hidden="1"/>
    </xf>
    <xf numFmtId="3" fontId="2" fillId="5" borderId="1" xfId="0" applyNumberFormat="1" applyFont="1" applyFill="1" applyBorder="1" applyAlignment="1" applyProtection="1">
      <alignment horizontal="center" vertical="center"/>
      <protection hidden="1"/>
    </xf>
    <xf numFmtId="3" fontId="2" fillId="6" borderId="1" xfId="0" applyNumberFormat="1" applyFont="1" applyFill="1" applyBorder="1" applyAlignment="1" applyProtection="1">
      <alignment horizontal="center" vertical="center"/>
      <protection hidden="1"/>
    </xf>
    <xf numFmtId="166" fontId="2" fillId="3" borderId="1" xfId="1" applyNumberFormat="1" applyFont="1" applyFill="1" applyBorder="1" applyAlignment="1" applyProtection="1">
      <alignment horizontal="center" vertical="center"/>
      <protection hidden="1"/>
    </xf>
    <xf numFmtId="1" fontId="2" fillId="3" borderId="1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 applyAlignment="1">
      <alignment horizontal="center" vertical="center"/>
    </xf>
    <xf numFmtId="167" fontId="0" fillId="0" borderId="0" xfId="1" applyNumberFormat="1" applyFont="1"/>
    <xf numFmtId="167" fontId="0" fillId="0" borderId="0" xfId="0" applyNumberFormat="1"/>
    <xf numFmtId="0" fontId="0" fillId="0" borderId="0" xfId="0" applyProtection="1">
      <protection locked="0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2"/>
    <xf numFmtId="0" fontId="13" fillId="0" borderId="20" xfId="0" applyFont="1" applyBorder="1" applyAlignment="1">
      <alignment horizontal="center" wrapText="1"/>
    </xf>
    <xf numFmtId="0" fontId="14" fillId="0" borderId="20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3" fontId="16" fillId="12" borderId="7" xfId="0" applyNumberFormat="1" applyFont="1" applyFill="1" applyBorder="1" applyAlignment="1" applyProtection="1">
      <alignment horizontal="center" vertical="center"/>
      <protection locked="0"/>
    </xf>
    <xf numFmtId="0" fontId="16" fillId="12" borderId="9" xfId="0" applyFont="1" applyFill="1" applyBorder="1" applyAlignment="1" applyProtection="1">
      <alignment horizontal="center" vertical="center"/>
      <protection locked="0"/>
    </xf>
    <xf numFmtId="3" fontId="16" fillId="12" borderId="21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Font="1" applyBorder="1"/>
    <xf numFmtId="0" fontId="17" fillId="0" borderId="8" xfId="0" applyFont="1" applyBorder="1"/>
    <xf numFmtId="0" fontId="17" fillId="0" borderId="16" xfId="0" applyFont="1" applyFill="1" applyBorder="1"/>
    <xf numFmtId="0" fontId="18" fillId="0" borderId="19" xfId="0" applyFont="1" applyBorder="1" applyAlignment="1">
      <alignment horizontal="center" vertical="center"/>
    </xf>
    <xf numFmtId="0" fontId="17" fillId="11" borderId="10" xfId="0" applyFont="1" applyFill="1" applyBorder="1"/>
    <xf numFmtId="0" fontId="17" fillId="11" borderId="11" xfId="0" applyFont="1" applyFill="1" applyBorder="1"/>
    <xf numFmtId="0" fontId="17" fillId="11" borderId="11" xfId="0" applyFont="1" applyFill="1" applyBorder="1" applyAlignment="1">
      <alignment horizontal="right" indent="1" readingOrder="1"/>
    </xf>
    <xf numFmtId="0" fontId="17" fillId="11" borderId="17" xfId="0" applyFont="1" applyFill="1" applyBorder="1"/>
    <xf numFmtId="0" fontId="17" fillId="11" borderId="12" xfId="0" applyFont="1" applyFill="1" applyBorder="1"/>
    <xf numFmtId="3" fontId="19" fillId="0" borderId="13" xfId="0" applyNumberFormat="1" applyFont="1" applyBorder="1" applyAlignment="1" applyProtection="1">
      <alignment horizontal="center" vertical="center"/>
      <protection hidden="1"/>
    </xf>
    <xf numFmtId="167" fontId="19" fillId="0" borderId="14" xfId="1" applyNumberFormat="1" applyFont="1" applyBorder="1" applyAlignment="1" applyProtection="1">
      <alignment horizontal="center" vertical="center"/>
      <protection hidden="1"/>
    </xf>
    <xf numFmtId="167" fontId="19" fillId="0" borderId="14" xfId="1" applyNumberFormat="1" applyFont="1" applyBorder="1" applyAlignment="1" applyProtection="1">
      <alignment horizontal="left" vertical="center"/>
      <protection hidden="1"/>
    </xf>
    <xf numFmtId="164" fontId="19" fillId="0" borderId="14" xfId="0" applyNumberFormat="1" applyFont="1" applyBorder="1" applyAlignment="1" applyProtection="1">
      <alignment horizontal="left" vertical="center"/>
      <protection hidden="1"/>
    </xf>
    <xf numFmtId="168" fontId="19" fillId="0" borderId="14" xfId="0" applyNumberFormat="1" applyFont="1" applyBorder="1" applyAlignment="1" applyProtection="1">
      <alignment horizontal="left" vertical="center"/>
      <protection hidden="1"/>
    </xf>
    <xf numFmtId="167" fontId="19" fillId="0" borderId="14" xfId="0" applyNumberFormat="1" applyFont="1" applyBorder="1" applyAlignment="1" applyProtection="1">
      <alignment horizontal="left" vertical="center"/>
      <protection hidden="1"/>
    </xf>
    <xf numFmtId="167" fontId="19" fillId="0" borderId="18" xfId="0" applyNumberFormat="1" applyFont="1" applyBorder="1" applyAlignment="1" applyProtection="1">
      <alignment horizontal="left" vertical="center"/>
      <protection hidden="1"/>
    </xf>
    <xf numFmtId="167" fontId="19" fillId="0" borderId="15" xfId="0" applyNumberFormat="1" applyFont="1" applyBorder="1" applyAlignment="1" applyProtection="1">
      <alignment horizontal="left" vertical="center"/>
      <protection hidden="1"/>
    </xf>
    <xf numFmtId="0" fontId="20" fillId="8" borderId="1" xfId="0" applyFont="1" applyFill="1" applyBorder="1" applyAlignment="1" applyProtection="1">
      <alignment horizontal="center" vertical="center"/>
      <protection locked="0"/>
    </xf>
    <xf numFmtId="3" fontId="20" fillId="3" borderId="1" xfId="0" applyNumberFormat="1" applyFont="1" applyFill="1" applyBorder="1" applyAlignment="1" applyProtection="1">
      <alignment horizontal="center" vertical="center"/>
      <protection hidden="1"/>
    </xf>
    <xf numFmtId="167" fontId="16" fillId="12" borderId="9" xfId="1" applyNumberFormat="1" applyFont="1" applyFill="1" applyBorder="1" applyAlignment="1" applyProtection="1">
      <alignment horizontal="left" vertical="top" readingOrder="1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3" fontId="2" fillId="0" borderId="0" xfId="0" applyNumberFormat="1" applyFont="1" applyAlignment="1" applyProtection="1">
      <alignment horizontal="center" vertical="center"/>
      <protection hidden="1"/>
    </xf>
    <xf numFmtId="0" fontId="15" fillId="10" borderId="0" xfId="0" applyFont="1" applyFill="1" applyAlignment="1" applyProtection="1">
      <alignment horizontal="center"/>
      <protection hidden="1"/>
    </xf>
    <xf numFmtId="0" fontId="22" fillId="10" borderId="0" xfId="0" applyFont="1" applyFill="1" applyAlignment="1" applyProtection="1">
      <alignment horizontal="center"/>
      <protection hidden="1"/>
    </xf>
    <xf numFmtId="0" fontId="20" fillId="7" borderId="3" xfId="0" applyFont="1" applyFill="1" applyBorder="1" applyAlignment="1" applyProtection="1">
      <alignment horizontal="right" readingOrder="1"/>
      <protection hidden="1"/>
    </xf>
    <xf numFmtId="0" fontId="20" fillId="7" borderId="4" xfId="0" applyFont="1" applyFill="1" applyBorder="1" applyAlignment="1" applyProtection="1">
      <alignment horizontal="right" readingOrder="1"/>
      <protection hidden="1"/>
    </xf>
    <xf numFmtId="0" fontId="20" fillId="7" borderId="5" xfId="0" applyFont="1" applyFill="1" applyBorder="1" applyAlignment="1" applyProtection="1">
      <alignment horizontal="right" readingOrder="1"/>
      <protection hidden="1"/>
    </xf>
    <xf numFmtId="0" fontId="20" fillId="7" borderId="3" xfId="0" applyFont="1" applyFill="1" applyBorder="1" applyAlignment="1" applyProtection="1">
      <alignment horizontal="center" readingOrder="1"/>
      <protection hidden="1"/>
    </xf>
    <xf numFmtId="0" fontId="20" fillId="7" borderId="4" xfId="0" applyFont="1" applyFill="1" applyBorder="1" applyAlignment="1" applyProtection="1">
      <alignment horizontal="center" readingOrder="1"/>
      <protection hidden="1"/>
    </xf>
    <xf numFmtId="0" fontId="20" fillId="7" borderId="5" xfId="0" applyFont="1" applyFill="1" applyBorder="1" applyAlignment="1" applyProtection="1">
      <alignment horizontal="center" readingOrder="1"/>
      <protection hidden="1"/>
    </xf>
    <xf numFmtId="0" fontId="7" fillId="0" borderId="2" xfId="0" applyFont="1" applyBorder="1" applyAlignment="1" applyProtection="1">
      <alignment horizontal="center" wrapText="1"/>
      <protection hidden="1"/>
    </xf>
    <xf numFmtId="0" fontId="7" fillId="0" borderId="0" xfId="0" applyFont="1" applyBorder="1" applyAlignment="1" applyProtection="1">
      <alignment horizontal="center" wrapText="1"/>
      <protection hidden="1"/>
    </xf>
    <xf numFmtId="0" fontId="21" fillId="9" borderId="1" xfId="0" applyFont="1" applyFill="1" applyBorder="1" applyAlignment="1" applyProtection="1">
      <alignment horizontal="center"/>
      <protection hidden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ctrlProps/ctrlProp1.xml><?xml version="1.0" encoding="utf-8"?>
<formControlPr xmlns="http://schemas.microsoft.com/office/spreadsheetml/2009/9/main" objectType="CheckBox" checked="Checked" fmlaLink="C9"/>
</file>

<file path=xl/ctrlProps/ctrlProp2.xml><?xml version="1.0" encoding="utf-8"?>
<formControlPr xmlns="http://schemas.microsoft.com/office/spreadsheetml/2009/9/main" objectType="CheckBox" checked="Checked" fmlaLink="C8"/>
</file>

<file path=xl/ctrlProps/ctrlProp3.xml><?xml version="1.0" encoding="utf-8"?>
<formControlPr xmlns="http://schemas.microsoft.com/office/spreadsheetml/2009/9/main" objectType="CheckBox" checked="Checked" fmlaLink="C1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8</xdr:row>
          <xdr:rowOff>9525</xdr:rowOff>
        </xdr:from>
        <xdr:to>
          <xdr:col>0</xdr:col>
          <xdr:colOff>1495425</xdr:colOff>
          <xdr:row>8</xdr:row>
          <xdr:rowOff>276225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( ماهانه پرداخت می شود)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7</xdr:row>
          <xdr:rowOff>9525</xdr:rowOff>
        </xdr:from>
        <xdr:to>
          <xdr:col>0</xdr:col>
          <xdr:colOff>1943100</xdr:colOff>
          <xdr:row>8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(ماهانه پرداخت می شود)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10</xdr:row>
          <xdr:rowOff>9525</xdr:rowOff>
        </xdr:from>
        <xdr:to>
          <xdr:col>0</xdr:col>
          <xdr:colOff>1495425</xdr:colOff>
          <xdr:row>10</xdr:row>
          <xdr:rowOff>276225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( متاهل )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3</xdr:col>
      <xdr:colOff>400050</xdr:colOff>
      <xdr:row>8</xdr:row>
      <xdr:rowOff>8764</xdr:rowOff>
    </xdr:from>
    <xdr:to>
      <xdr:col>5</xdr:col>
      <xdr:colOff>247650</xdr:colOff>
      <xdr:row>14</xdr:row>
      <xdr:rowOff>151639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3028189"/>
          <a:ext cx="2009775" cy="2009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7" Type="http://schemas.openxmlformats.org/officeDocument/2006/relationships/ctrlProp" Target="../ctrlProps/ctrlProp3.xml" /><Relationship Id="rId2" Type="http://schemas.openxmlformats.org/officeDocument/2006/relationships/printerSettings" Target="../printerSettings/printerSettings2.bin" /><Relationship Id="rId1" Type="http://schemas.openxmlformats.org/officeDocument/2006/relationships/hyperlink" Target="https://shenasname.ir/" TargetMode="External" /><Relationship Id="rId6" Type="http://schemas.openxmlformats.org/officeDocument/2006/relationships/ctrlProp" Target="../ctrlProps/ctrlProp2.xml" /><Relationship Id="rId5" Type="http://schemas.openxmlformats.org/officeDocument/2006/relationships/ctrlProp" Target="../ctrlProps/ctrlProp1.xml" /><Relationship Id="rId4" Type="http://schemas.openxmlformats.org/officeDocument/2006/relationships/vmlDrawing" Target="../drawings/vmlDrawing1.vml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5"/>
  <sheetViews>
    <sheetView topLeftCell="V24" zoomScale="50" zoomScaleNormal="50" workbookViewId="0">
      <selection activeCell="AQ45" sqref="AQ45"/>
    </sheetView>
  </sheetViews>
  <sheetFormatPr defaultRowHeight="15" x14ac:dyDescent="0.2"/>
  <cols>
    <col min="1" max="1" width="17.62109375" bestFit="1" customWidth="1"/>
    <col min="2" max="40" width="17.21875" customWidth="1"/>
    <col min="41" max="41" width="16.54296875" customWidth="1"/>
    <col min="42" max="42" width="17.484375" customWidth="1"/>
    <col min="43" max="43" width="18.5625" customWidth="1"/>
  </cols>
  <sheetData>
    <row r="1" spans="1:38" ht="22.5" x14ac:dyDescent="0.2">
      <c r="A1" s="2"/>
      <c r="B1" s="3"/>
      <c r="C1" s="3"/>
      <c r="D1" s="3"/>
      <c r="E1" s="3"/>
      <c r="F1" s="3"/>
      <c r="G1" s="3"/>
      <c r="H1" s="3"/>
      <c r="I1" s="3"/>
      <c r="J1" s="50" t="s">
        <v>23</v>
      </c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3"/>
      <c r="Z1" s="3"/>
      <c r="AA1" s="3"/>
      <c r="AB1" s="4"/>
      <c r="AC1" s="4"/>
      <c r="AD1" s="4"/>
      <c r="AE1" s="4"/>
      <c r="AF1" s="4"/>
      <c r="AG1" s="4"/>
      <c r="AH1" s="5"/>
      <c r="AI1" s="5"/>
      <c r="AJ1" s="5"/>
      <c r="AK1" s="1"/>
      <c r="AL1" s="1"/>
    </row>
    <row r="2" spans="1:38" ht="22.5" x14ac:dyDescent="0.2">
      <c r="A2" s="2"/>
      <c r="B2" s="3"/>
      <c r="C2" s="3"/>
      <c r="D2" s="3"/>
      <c r="E2" s="3"/>
      <c r="F2" s="3"/>
      <c r="G2" s="3"/>
      <c r="H2" s="3"/>
      <c r="I2" s="3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3"/>
      <c r="Z2" s="3"/>
      <c r="AA2" s="3"/>
      <c r="AB2" s="4"/>
      <c r="AC2" s="4"/>
      <c r="AD2" s="4"/>
      <c r="AE2" s="4"/>
      <c r="AF2" s="4"/>
      <c r="AG2" s="4"/>
      <c r="AH2" s="5"/>
      <c r="AI2" s="5"/>
      <c r="AJ2" s="5"/>
      <c r="AK2" s="1"/>
      <c r="AL2" s="1"/>
    </row>
    <row r="3" spans="1:38" ht="22.5" x14ac:dyDescent="0.2">
      <c r="A3" s="6">
        <v>1363</v>
      </c>
      <c r="B3" s="7">
        <v>635</v>
      </c>
      <c r="C3" s="3"/>
      <c r="D3" s="3"/>
      <c r="E3" s="3"/>
      <c r="F3" s="3"/>
      <c r="G3" s="3"/>
      <c r="H3" s="3"/>
      <c r="I3" s="3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3"/>
      <c r="Z3" s="3"/>
      <c r="AA3" s="3"/>
      <c r="AB3" s="4"/>
      <c r="AC3" s="4"/>
      <c r="AD3" s="4"/>
      <c r="AE3" s="4"/>
      <c r="AF3" s="4"/>
      <c r="AG3" s="4"/>
      <c r="AH3" s="5"/>
      <c r="AI3" s="5"/>
      <c r="AJ3" s="5"/>
      <c r="AK3" s="1"/>
      <c r="AL3" s="1"/>
    </row>
    <row r="4" spans="1:38" ht="22.5" x14ac:dyDescent="0.2">
      <c r="A4" s="6">
        <v>1364</v>
      </c>
      <c r="B4" s="8">
        <f t="shared" ref="B4" si="0">B3+85+40</f>
        <v>760</v>
      </c>
      <c r="C4" s="7">
        <v>720</v>
      </c>
      <c r="D4" s="3"/>
      <c r="E4" s="3"/>
      <c r="F4" s="3"/>
      <c r="G4" s="3"/>
      <c r="H4" s="3"/>
      <c r="I4" s="3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3"/>
      <c r="Z4" s="3"/>
      <c r="AA4" s="3"/>
      <c r="AB4" s="4"/>
      <c r="AC4" s="4"/>
      <c r="AD4" s="4"/>
      <c r="AE4" s="4"/>
      <c r="AF4" s="4"/>
      <c r="AG4" s="4"/>
      <c r="AH4" s="5"/>
      <c r="AI4" s="5"/>
      <c r="AJ4" s="5"/>
      <c r="AK4" s="1"/>
      <c r="AL4" s="1"/>
    </row>
    <row r="5" spans="1:38" ht="22.5" x14ac:dyDescent="0.2">
      <c r="A5" s="6">
        <v>1365</v>
      </c>
      <c r="B5" s="8">
        <f t="shared" ref="B5" si="1">B4+0</f>
        <v>760</v>
      </c>
      <c r="C5" s="9">
        <f>C4+0</f>
        <v>720</v>
      </c>
      <c r="D5" s="7">
        <v>720</v>
      </c>
      <c r="E5" s="3"/>
      <c r="F5" s="3"/>
      <c r="G5" s="3"/>
      <c r="H5" s="3"/>
      <c r="I5" s="3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3"/>
      <c r="Z5" s="3"/>
      <c r="AA5" s="3"/>
      <c r="AB5" s="4"/>
      <c r="AC5" s="4"/>
      <c r="AD5" s="4"/>
      <c r="AE5" s="4"/>
      <c r="AF5" s="4"/>
      <c r="AG5" s="4"/>
      <c r="AH5" s="5"/>
      <c r="AI5" s="5"/>
      <c r="AJ5" s="5"/>
      <c r="AK5" s="1"/>
      <c r="AL5" s="1"/>
    </row>
    <row r="6" spans="1:38" ht="22.5" x14ac:dyDescent="0.2">
      <c r="A6" s="6">
        <v>1366</v>
      </c>
      <c r="B6" s="8">
        <f t="shared" ref="B6:C6" si="2">B5+100</f>
        <v>860</v>
      </c>
      <c r="C6" s="9">
        <f t="shared" si="2"/>
        <v>820</v>
      </c>
      <c r="D6" s="9">
        <f>D5+100</f>
        <v>820</v>
      </c>
      <c r="E6" s="7">
        <v>760</v>
      </c>
      <c r="F6" s="3"/>
      <c r="G6" s="3"/>
      <c r="H6" s="3"/>
      <c r="I6" s="3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3"/>
      <c r="Z6" s="3"/>
      <c r="AA6" s="3"/>
      <c r="AB6" s="4"/>
      <c r="AC6" s="4"/>
      <c r="AD6" s="4"/>
      <c r="AE6" s="4"/>
      <c r="AF6" s="4"/>
      <c r="AG6" s="4"/>
      <c r="AH6" s="5"/>
      <c r="AI6" s="5"/>
      <c r="AJ6" s="5"/>
      <c r="AK6" s="1"/>
      <c r="AL6" s="1"/>
    </row>
    <row r="7" spans="1:38" ht="38.25" customHeight="1" x14ac:dyDescent="0.2">
      <c r="A7" s="6">
        <v>1367</v>
      </c>
      <c r="B7" s="8">
        <f t="shared" ref="B7:D7" si="3">B6+70+60</f>
        <v>990</v>
      </c>
      <c r="C7" s="9">
        <f t="shared" si="3"/>
        <v>950</v>
      </c>
      <c r="D7" s="9">
        <f t="shared" si="3"/>
        <v>950</v>
      </c>
      <c r="E7" s="9">
        <f>E6+70+60</f>
        <v>890</v>
      </c>
      <c r="F7" s="7">
        <v>830</v>
      </c>
      <c r="G7" s="3"/>
      <c r="H7" s="3"/>
      <c r="I7" s="3"/>
      <c r="J7" s="51" t="s">
        <v>3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3"/>
      <c r="Z7" s="3"/>
      <c r="AA7" s="3"/>
      <c r="AB7" s="4"/>
      <c r="AC7" s="4"/>
      <c r="AD7" s="4"/>
      <c r="AE7" s="4"/>
      <c r="AF7" s="4"/>
      <c r="AG7" s="4"/>
      <c r="AH7" s="5"/>
      <c r="AI7" s="5"/>
      <c r="AJ7" s="5"/>
      <c r="AK7" s="1"/>
      <c r="AL7" s="1"/>
    </row>
    <row r="8" spans="1:38" ht="22.5" x14ac:dyDescent="0.2">
      <c r="A8" s="6">
        <v>1368</v>
      </c>
      <c r="B8" s="10">
        <f t="shared" ref="B8:F8" si="4">B7+60</f>
        <v>1050</v>
      </c>
      <c r="C8" s="10">
        <f t="shared" si="4"/>
        <v>1010</v>
      </c>
      <c r="D8" s="10">
        <f t="shared" si="4"/>
        <v>1010</v>
      </c>
      <c r="E8" s="10">
        <f t="shared" si="4"/>
        <v>950</v>
      </c>
      <c r="F8" s="10">
        <f t="shared" si="4"/>
        <v>890</v>
      </c>
      <c r="G8" s="11">
        <v>830</v>
      </c>
      <c r="H8" s="12"/>
      <c r="I8" s="1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12"/>
      <c r="Z8" s="12"/>
      <c r="AA8" s="12"/>
      <c r="AB8" s="12"/>
      <c r="AC8" s="12"/>
      <c r="AD8" s="12"/>
      <c r="AE8" s="12"/>
      <c r="AF8" s="12"/>
      <c r="AG8" s="12"/>
      <c r="AH8" s="5"/>
      <c r="AI8" s="5"/>
      <c r="AJ8" s="5"/>
      <c r="AK8" s="1"/>
      <c r="AL8" s="1"/>
    </row>
    <row r="9" spans="1:38" ht="22.5" x14ac:dyDescent="0.2">
      <c r="A9" s="6">
        <v>1369</v>
      </c>
      <c r="B9" s="8">
        <f t="shared" ref="B9:F9" si="5">B8+170+60</f>
        <v>1280</v>
      </c>
      <c r="C9" s="8">
        <f t="shared" si="5"/>
        <v>1240</v>
      </c>
      <c r="D9" s="8">
        <f t="shared" si="5"/>
        <v>1240</v>
      </c>
      <c r="E9" s="8">
        <f t="shared" si="5"/>
        <v>1180</v>
      </c>
      <c r="F9" s="8">
        <f t="shared" si="5"/>
        <v>1120</v>
      </c>
      <c r="G9" s="8">
        <f>G8+170+60</f>
        <v>1060</v>
      </c>
      <c r="H9" s="13">
        <v>1000</v>
      </c>
      <c r="I9" s="1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12"/>
      <c r="Z9" s="12"/>
      <c r="AA9" s="12"/>
      <c r="AB9" s="12"/>
      <c r="AC9" s="12"/>
      <c r="AD9" s="12"/>
      <c r="AE9" s="12"/>
      <c r="AF9" s="12"/>
      <c r="AG9" s="12"/>
      <c r="AH9" s="5"/>
      <c r="AI9" s="5"/>
      <c r="AJ9" s="5"/>
      <c r="AK9" s="1"/>
      <c r="AL9" s="1"/>
    </row>
    <row r="10" spans="1:38" ht="22.5" x14ac:dyDescent="0.2">
      <c r="A10" s="6">
        <v>1370</v>
      </c>
      <c r="B10" s="8">
        <f t="shared" ref="B10:G10" si="6">B9+667+60</f>
        <v>2007</v>
      </c>
      <c r="C10" s="8">
        <f t="shared" si="6"/>
        <v>1967</v>
      </c>
      <c r="D10" s="8">
        <f t="shared" si="6"/>
        <v>1967</v>
      </c>
      <c r="E10" s="8">
        <f t="shared" si="6"/>
        <v>1907</v>
      </c>
      <c r="F10" s="8">
        <f t="shared" si="6"/>
        <v>1847</v>
      </c>
      <c r="G10" s="8">
        <f t="shared" si="6"/>
        <v>1787</v>
      </c>
      <c r="H10" s="8">
        <f>H9+667+60</f>
        <v>1727</v>
      </c>
      <c r="I10" s="13">
        <v>1677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5"/>
      <c r="AI10" s="5"/>
      <c r="AJ10" s="5"/>
      <c r="AK10" s="1"/>
      <c r="AL10" s="1"/>
    </row>
    <row r="11" spans="1:38" ht="22.5" x14ac:dyDescent="0.2">
      <c r="A11" s="6">
        <v>1371</v>
      </c>
      <c r="B11" s="8">
        <f t="shared" ref="B11:H11" si="7">B10+600+60</f>
        <v>2667</v>
      </c>
      <c r="C11" s="8">
        <f t="shared" si="7"/>
        <v>2627</v>
      </c>
      <c r="D11" s="8">
        <f t="shared" si="7"/>
        <v>2627</v>
      </c>
      <c r="E11" s="8">
        <f t="shared" si="7"/>
        <v>2567</v>
      </c>
      <c r="F11" s="8">
        <f t="shared" si="7"/>
        <v>2507</v>
      </c>
      <c r="G11" s="8">
        <f t="shared" si="7"/>
        <v>2447</v>
      </c>
      <c r="H11" s="8">
        <f t="shared" si="7"/>
        <v>2387</v>
      </c>
      <c r="I11" s="8">
        <f>I10+600+60</f>
        <v>2337</v>
      </c>
      <c r="J11" s="13">
        <v>2267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5"/>
      <c r="AI11" s="5"/>
      <c r="AJ11" s="5"/>
      <c r="AK11" s="1"/>
      <c r="AL11" s="1"/>
    </row>
    <row r="12" spans="1:38" ht="22.5" x14ac:dyDescent="0.2">
      <c r="A12" s="6">
        <v>1372</v>
      </c>
      <c r="B12" s="8">
        <f t="shared" ref="B12:I12" si="8">B11+(10%*B11)+500+60</f>
        <v>3493.7</v>
      </c>
      <c r="C12" s="8">
        <f t="shared" si="8"/>
        <v>3449.7</v>
      </c>
      <c r="D12" s="8">
        <f t="shared" si="8"/>
        <v>3449.7</v>
      </c>
      <c r="E12" s="8">
        <f t="shared" si="8"/>
        <v>3383.7</v>
      </c>
      <c r="F12" s="8">
        <f t="shared" si="8"/>
        <v>3317.7</v>
      </c>
      <c r="G12" s="8">
        <f t="shared" si="8"/>
        <v>3251.7</v>
      </c>
      <c r="H12" s="8">
        <f t="shared" si="8"/>
        <v>3185.7</v>
      </c>
      <c r="I12" s="8">
        <f t="shared" si="8"/>
        <v>3130.7</v>
      </c>
      <c r="J12" s="8">
        <f>J11+(10%*J11)+500+60</f>
        <v>3053.7</v>
      </c>
      <c r="K12" s="13">
        <v>2994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5"/>
      <c r="AI12" s="5"/>
      <c r="AJ12" s="5"/>
      <c r="AK12" s="1"/>
      <c r="AL12" s="1"/>
    </row>
    <row r="13" spans="1:38" ht="22.5" x14ac:dyDescent="0.2">
      <c r="A13" s="6">
        <v>1373</v>
      </c>
      <c r="B13" s="8">
        <f t="shared" ref="B13:J13" si="9">B12+(10%*B12)+600+80</f>
        <v>4523.07</v>
      </c>
      <c r="C13" s="8">
        <f t="shared" si="9"/>
        <v>4474.67</v>
      </c>
      <c r="D13" s="8">
        <f t="shared" si="9"/>
        <v>4474.67</v>
      </c>
      <c r="E13" s="8">
        <f t="shared" si="9"/>
        <v>4402.07</v>
      </c>
      <c r="F13" s="8">
        <f t="shared" si="9"/>
        <v>4329.4699999999993</v>
      </c>
      <c r="G13" s="8">
        <f t="shared" si="9"/>
        <v>4256.87</v>
      </c>
      <c r="H13" s="8">
        <f t="shared" si="9"/>
        <v>4184.2700000000004</v>
      </c>
      <c r="I13" s="8">
        <f t="shared" si="9"/>
        <v>4123.7700000000004</v>
      </c>
      <c r="J13" s="8">
        <f t="shared" si="9"/>
        <v>4039.0699999999997</v>
      </c>
      <c r="K13" s="8">
        <f>K12+(10%*K12)+600+80</f>
        <v>3973.4</v>
      </c>
      <c r="L13" s="13">
        <v>3894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5"/>
      <c r="AI13" s="5"/>
      <c r="AJ13" s="5"/>
      <c r="AK13" s="1"/>
      <c r="AL13" s="1"/>
    </row>
    <row r="14" spans="1:38" ht="22.5" x14ac:dyDescent="0.2">
      <c r="A14" s="6">
        <v>1374</v>
      </c>
      <c r="B14" s="8">
        <f t="shared" ref="B14:K14" si="10">B13+(10%*B13)+1050+100</f>
        <v>6125.3769999999995</v>
      </c>
      <c r="C14" s="8">
        <f t="shared" si="10"/>
        <v>6072.1369999999997</v>
      </c>
      <c r="D14" s="8">
        <f t="shared" si="10"/>
        <v>6072.1369999999997</v>
      </c>
      <c r="E14" s="8">
        <f t="shared" si="10"/>
        <v>5992.277</v>
      </c>
      <c r="F14" s="8">
        <f t="shared" si="10"/>
        <v>5912.4169999999995</v>
      </c>
      <c r="G14" s="8">
        <f t="shared" si="10"/>
        <v>5832.5569999999998</v>
      </c>
      <c r="H14" s="8">
        <f t="shared" si="10"/>
        <v>5752.6970000000001</v>
      </c>
      <c r="I14" s="8">
        <f t="shared" si="10"/>
        <v>5686.1470000000008</v>
      </c>
      <c r="J14" s="8">
        <f t="shared" si="10"/>
        <v>5592.9769999999999</v>
      </c>
      <c r="K14" s="8">
        <f t="shared" si="10"/>
        <v>5520.74</v>
      </c>
      <c r="L14" s="8">
        <f>L13+(10%*L13)+1050+100</f>
        <v>5433.4</v>
      </c>
      <c r="M14" s="13">
        <v>5333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5"/>
      <c r="AI14" s="5"/>
      <c r="AJ14" s="5"/>
      <c r="AK14" s="1"/>
      <c r="AL14" s="1"/>
    </row>
    <row r="15" spans="1:38" ht="22.5" x14ac:dyDescent="0.2">
      <c r="A15" s="6">
        <v>1375</v>
      </c>
      <c r="B15" s="8">
        <f t="shared" ref="B15:L15" si="11">B14+(7%*B14)+1200+125</f>
        <v>7879.1533899999995</v>
      </c>
      <c r="C15" s="8">
        <f t="shared" si="11"/>
        <v>7822.1865899999993</v>
      </c>
      <c r="D15" s="8">
        <f t="shared" si="11"/>
        <v>7822.1865899999993</v>
      </c>
      <c r="E15" s="8">
        <f t="shared" si="11"/>
        <v>7736.73639</v>
      </c>
      <c r="F15" s="8">
        <f t="shared" si="11"/>
        <v>7651.2861899999998</v>
      </c>
      <c r="G15" s="8">
        <f t="shared" si="11"/>
        <v>7565.8359899999996</v>
      </c>
      <c r="H15" s="8">
        <f t="shared" si="11"/>
        <v>7480.3857900000003</v>
      </c>
      <c r="I15" s="8">
        <f t="shared" si="11"/>
        <v>7409.1772900000005</v>
      </c>
      <c r="J15" s="8">
        <f t="shared" si="11"/>
        <v>7309.4853899999998</v>
      </c>
      <c r="K15" s="8">
        <f t="shared" si="11"/>
        <v>7232.1917999999996</v>
      </c>
      <c r="L15" s="8">
        <f t="shared" si="11"/>
        <v>7138.7379999999994</v>
      </c>
      <c r="M15" s="8">
        <f>M14+(7%*M14)+1200+125</f>
        <v>7031.31</v>
      </c>
      <c r="N15" s="13">
        <v>6907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5"/>
      <c r="AI15" s="5"/>
      <c r="AJ15" s="5"/>
      <c r="AK15" s="1"/>
      <c r="AL15" s="1"/>
    </row>
    <row r="16" spans="1:38" ht="22.5" x14ac:dyDescent="0.2">
      <c r="A16" s="6">
        <v>1376</v>
      </c>
      <c r="B16" s="8">
        <f t="shared" ref="B16:M16" si="12">B15+(22.8%*B15)+125</f>
        <v>9800.6003629199986</v>
      </c>
      <c r="C16" s="8">
        <f t="shared" si="12"/>
        <v>9730.6451325199996</v>
      </c>
      <c r="D16" s="8">
        <f t="shared" si="12"/>
        <v>9730.6451325199996</v>
      </c>
      <c r="E16" s="8">
        <f t="shared" si="12"/>
        <v>9625.7122869199993</v>
      </c>
      <c r="F16" s="8">
        <f t="shared" si="12"/>
        <v>9520.779441319999</v>
      </c>
      <c r="G16" s="8">
        <f t="shared" si="12"/>
        <v>9415.8465957199987</v>
      </c>
      <c r="H16" s="8">
        <f t="shared" si="12"/>
        <v>9310.9137501200003</v>
      </c>
      <c r="I16" s="8">
        <f t="shared" si="12"/>
        <v>9223.4697121200006</v>
      </c>
      <c r="J16" s="8">
        <f t="shared" si="12"/>
        <v>9101.0480589199997</v>
      </c>
      <c r="K16" s="8">
        <f t="shared" si="12"/>
        <v>9006.1315304</v>
      </c>
      <c r="L16" s="8">
        <f t="shared" si="12"/>
        <v>8891.3702639999992</v>
      </c>
      <c r="M16" s="8">
        <f t="shared" si="12"/>
        <v>8759.4486800000013</v>
      </c>
      <c r="N16" s="8">
        <f>N15+(22.8%*N15)+125</f>
        <v>8606.7960000000003</v>
      </c>
      <c r="O16" s="13">
        <v>8482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5"/>
      <c r="AI16" s="5"/>
      <c r="AJ16" s="5"/>
      <c r="AK16" s="1"/>
      <c r="AL16" s="1"/>
    </row>
    <row r="17" spans="1:38" ht="22.5" x14ac:dyDescent="0.2">
      <c r="A17" s="6">
        <v>1377</v>
      </c>
      <c r="B17" s="8">
        <f t="shared" ref="B17:N17" si="13">B16+(18.5%*B16)+150</f>
        <v>11763.711430060199</v>
      </c>
      <c r="C17" s="8">
        <f t="shared" si="13"/>
        <v>11680.814482036199</v>
      </c>
      <c r="D17" s="8">
        <f t="shared" si="13"/>
        <v>11680.814482036199</v>
      </c>
      <c r="E17" s="8">
        <f t="shared" si="13"/>
        <v>11556.4690600002</v>
      </c>
      <c r="F17" s="8">
        <f t="shared" si="13"/>
        <v>11432.1236379642</v>
      </c>
      <c r="G17" s="8">
        <f t="shared" si="13"/>
        <v>11307.778215928198</v>
      </c>
      <c r="H17" s="8">
        <f t="shared" si="13"/>
        <v>11183.4327938922</v>
      </c>
      <c r="I17" s="8">
        <f t="shared" si="13"/>
        <v>11079.811608862201</v>
      </c>
      <c r="J17" s="8">
        <f t="shared" si="13"/>
        <v>10934.7419498202</v>
      </c>
      <c r="K17" s="8">
        <f t="shared" si="13"/>
        <v>10822.265863524</v>
      </c>
      <c r="L17" s="8">
        <f t="shared" si="13"/>
        <v>10686.273762839999</v>
      </c>
      <c r="M17" s="8">
        <f t="shared" si="13"/>
        <v>10529.946685800001</v>
      </c>
      <c r="N17" s="8">
        <f t="shared" si="13"/>
        <v>10349.053260000001</v>
      </c>
      <c r="O17" s="8">
        <f>O16+(18.5%*O16)+150</f>
        <v>10201.17</v>
      </c>
      <c r="P17" s="13">
        <v>10051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5"/>
      <c r="AI17" s="5"/>
      <c r="AJ17" s="5"/>
      <c r="AK17" s="1"/>
      <c r="AL17" s="1"/>
    </row>
    <row r="18" spans="1:38" ht="22.5" x14ac:dyDescent="0.2">
      <c r="A18" s="6">
        <v>1378</v>
      </c>
      <c r="B18" s="8">
        <f t="shared" ref="B18:O18" si="14">B17+(20%*B17)+210</f>
        <v>14326.453716072239</v>
      </c>
      <c r="C18" s="8">
        <f t="shared" si="14"/>
        <v>14226.97737844344</v>
      </c>
      <c r="D18" s="8">
        <f t="shared" si="14"/>
        <v>14226.97737844344</v>
      </c>
      <c r="E18" s="8">
        <f t="shared" si="14"/>
        <v>14077.762872000239</v>
      </c>
      <c r="F18" s="8">
        <f t="shared" si="14"/>
        <v>13928.548365557039</v>
      </c>
      <c r="G18" s="8">
        <f t="shared" si="14"/>
        <v>13779.333859113838</v>
      </c>
      <c r="H18" s="8">
        <f t="shared" si="14"/>
        <v>13630.119352670639</v>
      </c>
      <c r="I18" s="8">
        <f t="shared" si="14"/>
        <v>13505.773930634641</v>
      </c>
      <c r="J18" s="8">
        <f t="shared" si="14"/>
        <v>13331.69033978424</v>
      </c>
      <c r="K18" s="8">
        <f t="shared" si="14"/>
        <v>13196.7190362288</v>
      </c>
      <c r="L18" s="8">
        <f t="shared" si="14"/>
        <v>13033.528515407999</v>
      </c>
      <c r="M18" s="8">
        <f t="shared" si="14"/>
        <v>12845.936022960002</v>
      </c>
      <c r="N18" s="8">
        <f t="shared" si="14"/>
        <v>12628.863912000001</v>
      </c>
      <c r="O18" s="8">
        <f t="shared" si="14"/>
        <v>12451.404</v>
      </c>
      <c r="P18" s="8">
        <f>P17+(20%*P17)+210</f>
        <v>12271.2</v>
      </c>
      <c r="Q18" s="13">
        <v>12061</v>
      </c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5"/>
      <c r="AI18" s="5"/>
      <c r="AJ18" s="5"/>
      <c r="AK18" s="1"/>
      <c r="AL18" s="1"/>
    </row>
    <row r="19" spans="1:38" ht="22.5" x14ac:dyDescent="0.2">
      <c r="A19" s="6">
        <v>1379</v>
      </c>
      <c r="B19" s="8">
        <f t="shared" ref="B19:P19" si="15">B18+(10%*B18)+2000+380</f>
        <v>18139.099087679464</v>
      </c>
      <c r="C19" s="8">
        <f t="shared" si="15"/>
        <v>18029.675116287784</v>
      </c>
      <c r="D19" s="8">
        <f t="shared" si="15"/>
        <v>18029.675116287784</v>
      </c>
      <c r="E19" s="8">
        <f t="shared" si="15"/>
        <v>17865.539159200263</v>
      </c>
      <c r="F19" s="8">
        <f t="shared" si="15"/>
        <v>17701.403202112742</v>
      </c>
      <c r="G19" s="8">
        <f t="shared" si="15"/>
        <v>17537.267245025221</v>
      </c>
      <c r="H19" s="8">
        <f t="shared" si="15"/>
        <v>17373.131287937704</v>
      </c>
      <c r="I19" s="8">
        <f t="shared" si="15"/>
        <v>17236.351323698105</v>
      </c>
      <c r="J19" s="8">
        <f t="shared" si="15"/>
        <v>17044.859373762665</v>
      </c>
      <c r="K19" s="8">
        <f t="shared" si="15"/>
        <v>16896.390939851681</v>
      </c>
      <c r="L19" s="8">
        <f t="shared" si="15"/>
        <v>16716.881366948801</v>
      </c>
      <c r="M19" s="8">
        <f t="shared" si="15"/>
        <v>16510.529625256004</v>
      </c>
      <c r="N19" s="8">
        <f t="shared" si="15"/>
        <v>16271.7503032</v>
      </c>
      <c r="O19" s="8">
        <f t="shared" si="15"/>
        <v>16076.544400000001</v>
      </c>
      <c r="P19" s="8">
        <f t="shared" si="15"/>
        <v>15878.320000000002</v>
      </c>
      <c r="Q19" s="8">
        <f>Q18+(10%*Q18)+2000+380</f>
        <v>15647.1</v>
      </c>
      <c r="R19" s="13">
        <v>15267</v>
      </c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5"/>
      <c r="AI19" s="5"/>
      <c r="AJ19" s="5"/>
      <c r="AK19" s="1"/>
      <c r="AL19" s="1"/>
    </row>
    <row r="20" spans="1:38" ht="22.5" x14ac:dyDescent="0.2">
      <c r="A20" s="6">
        <v>1380</v>
      </c>
      <c r="B20" s="8">
        <f t="shared" ref="B20:Q20" si="16">B19+(5%*B19)+2900+470</f>
        <v>22416.054042063439</v>
      </c>
      <c r="C20" s="8">
        <f t="shared" si="16"/>
        <v>22301.158872102173</v>
      </c>
      <c r="D20" s="8">
        <f t="shared" si="16"/>
        <v>22301.158872102173</v>
      </c>
      <c r="E20" s="8">
        <f t="shared" si="16"/>
        <v>22128.816117160277</v>
      </c>
      <c r="F20" s="8">
        <f t="shared" si="16"/>
        <v>21956.473362218378</v>
      </c>
      <c r="G20" s="8">
        <f t="shared" si="16"/>
        <v>21784.130607276482</v>
      </c>
      <c r="H20" s="8">
        <f t="shared" si="16"/>
        <v>21611.78785233459</v>
      </c>
      <c r="I20" s="8">
        <f t="shared" si="16"/>
        <v>21468.168889883011</v>
      </c>
      <c r="J20" s="8">
        <f t="shared" si="16"/>
        <v>21267.102342450798</v>
      </c>
      <c r="K20" s="8">
        <f t="shared" si="16"/>
        <v>21111.210486844266</v>
      </c>
      <c r="L20" s="8">
        <f t="shared" si="16"/>
        <v>20922.725435296241</v>
      </c>
      <c r="M20" s="8">
        <f t="shared" si="16"/>
        <v>20706.056106518805</v>
      </c>
      <c r="N20" s="8">
        <f t="shared" si="16"/>
        <v>20455.33781836</v>
      </c>
      <c r="O20" s="8">
        <f t="shared" si="16"/>
        <v>20250.371620000002</v>
      </c>
      <c r="P20" s="8">
        <f t="shared" si="16"/>
        <v>20042.236000000001</v>
      </c>
      <c r="Q20" s="8">
        <f t="shared" si="16"/>
        <v>19799.455000000002</v>
      </c>
      <c r="R20" s="8">
        <f>R19+(5%*R19)+2900+470</f>
        <v>19400.349999999999</v>
      </c>
      <c r="S20" s="13">
        <v>18930</v>
      </c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5"/>
      <c r="AI20" s="5"/>
      <c r="AJ20" s="5"/>
      <c r="AK20" s="1"/>
      <c r="AL20" s="1"/>
    </row>
    <row r="21" spans="1:38" ht="22.5" x14ac:dyDescent="0.2">
      <c r="A21" s="6">
        <v>1381</v>
      </c>
      <c r="B21" s="8">
        <f t="shared" ref="B21:R21" si="17">B20+(4.5%*B20)+3500+580</f>
        <v>27504.776473956292</v>
      </c>
      <c r="C21" s="8">
        <f t="shared" si="17"/>
        <v>27384.711021346771</v>
      </c>
      <c r="D21" s="8">
        <f t="shared" si="17"/>
        <v>27384.711021346771</v>
      </c>
      <c r="E21" s="8">
        <f t="shared" si="17"/>
        <v>27204.612842432489</v>
      </c>
      <c r="F21" s="8">
        <f t="shared" si="17"/>
        <v>27024.514663518203</v>
      </c>
      <c r="G21" s="8">
        <f t="shared" si="17"/>
        <v>26844.416484603924</v>
      </c>
      <c r="H21" s="8">
        <f t="shared" si="17"/>
        <v>26664.318305689645</v>
      </c>
      <c r="I21" s="8">
        <f t="shared" si="17"/>
        <v>26514.236489927745</v>
      </c>
      <c r="J21" s="8">
        <f t="shared" si="17"/>
        <v>26304.121947861084</v>
      </c>
      <c r="K21" s="8">
        <f t="shared" si="17"/>
        <v>26141.214958752258</v>
      </c>
      <c r="L21" s="8">
        <f t="shared" si="17"/>
        <v>25944.248079884572</v>
      </c>
      <c r="M21" s="8">
        <f t="shared" si="17"/>
        <v>25717.82863131215</v>
      </c>
      <c r="N21" s="8">
        <f t="shared" si="17"/>
        <v>25455.8280201862</v>
      </c>
      <c r="O21" s="8">
        <f t="shared" si="17"/>
        <v>25241.638342900002</v>
      </c>
      <c r="P21" s="8">
        <f t="shared" si="17"/>
        <v>25024.136620000001</v>
      </c>
      <c r="Q21" s="8">
        <f t="shared" si="17"/>
        <v>24770.430475000001</v>
      </c>
      <c r="R21" s="8">
        <f t="shared" si="17"/>
        <v>24353.365749999997</v>
      </c>
      <c r="S21" s="8">
        <f>S20+(4.5%*S20)+3500+580</f>
        <v>23861.85</v>
      </c>
      <c r="T21" s="13">
        <v>23282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5"/>
      <c r="AI21" s="5"/>
      <c r="AJ21" s="5"/>
      <c r="AK21" s="1"/>
      <c r="AL21" s="1"/>
    </row>
    <row r="22" spans="1:38" ht="22.5" x14ac:dyDescent="0.2">
      <c r="A22" s="6">
        <v>1382</v>
      </c>
      <c r="B22" s="8">
        <f t="shared" ref="B22:S22" si="18">B21+(5%*B21)+4000+710</f>
        <v>33590.015297654107</v>
      </c>
      <c r="C22" s="8">
        <f t="shared" si="18"/>
        <v>33463.946572414112</v>
      </c>
      <c r="D22" s="8">
        <f t="shared" si="18"/>
        <v>33463.946572414112</v>
      </c>
      <c r="E22" s="8">
        <f t="shared" si="18"/>
        <v>33274.843484554112</v>
      </c>
      <c r="F22" s="8">
        <f t="shared" si="18"/>
        <v>33085.740396694113</v>
      </c>
      <c r="G22" s="8">
        <f t="shared" si="18"/>
        <v>32896.637308834121</v>
      </c>
      <c r="H22" s="8">
        <f t="shared" si="18"/>
        <v>32707.534220974128</v>
      </c>
      <c r="I22" s="8">
        <f t="shared" si="18"/>
        <v>32549.948314424131</v>
      </c>
      <c r="J22" s="8">
        <f t="shared" si="18"/>
        <v>32329.328045254137</v>
      </c>
      <c r="K22" s="8">
        <f t="shared" si="18"/>
        <v>32158.27570668987</v>
      </c>
      <c r="L22" s="8">
        <f t="shared" si="18"/>
        <v>31951.4604838788</v>
      </c>
      <c r="M22" s="8">
        <f t="shared" si="18"/>
        <v>31713.720062877757</v>
      </c>
      <c r="N22" s="8">
        <f t="shared" si="18"/>
        <v>31438.619421195508</v>
      </c>
      <c r="O22" s="8">
        <f t="shared" si="18"/>
        <v>31213.720260045004</v>
      </c>
      <c r="P22" s="8">
        <f t="shared" si="18"/>
        <v>30985.343451000001</v>
      </c>
      <c r="Q22" s="8">
        <f t="shared" si="18"/>
        <v>30718.951998750003</v>
      </c>
      <c r="R22" s="8">
        <f t="shared" si="18"/>
        <v>30281.034037499998</v>
      </c>
      <c r="S22" s="8">
        <f t="shared" si="18"/>
        <v>29764.942499999997</v>
      </c>
      <c r="T22" s="8">
        <f>T21+(5%*T21)+4000+710</f>
        <v>29156.1</v>
      </c>
      <c r="U22" s="11">
        <v>28446</v>
      </c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5"/>
      <c r="AI22" s="5"/>
      <c r="AJ22" s="5"/>
      <c r="AK22" s="1"/>
      <c r="AL22" s="1"/>
    </row>
    <row r="23" spans="1:38" ht="22.5" x14ac:dyDescent="0.2">
      <c r="A23" s="6">
        <v>1383</v>
      </c>
      <c r="B23" s="8">
        <f t="shared" ref="B23:T23" si="19">B22+7088+900</f>
        <v>41578.015297654107</v>
      </c>
      <c r="C23" s="8">
        <f t="shared" si="19"/>
        <v>41451.946572414112</v>
      </c>
      <c r="D23" s="8">
        <f t="shared" si="19"/>
        <v>41451.946572414112</v>
      </c>
      <c r="E23" s="8">
        <f t="shared" si="19"/>
        <v>41262.843484554112</v>
      </c>
      <c r="F23" s="8">
        <f t="shared" si="19"/>
        <v>41073.740396694113</v>
      </c>
      <c r="G23" s="8">
        <f t="shared" si="19"/>
        <v>40884.637308834121</v>
      </c>
      <c r="H23" s="8">
        <f t="shared" si="19"/>
        <v>40695.534220974128</v>
      </c>
      <c r="I23" s="8">
        <f t="shared" si="19"/>
        <v>40537.948314424131</v>
      </c>
      <c r="J23" s="8">
        <f t="shared" si="19"/>
        <v>40317.328045254137</v>
      </c>
      <c r="K23" s="8">
        <f t="shared" si="19"/>
        <v>40146.27570668987</v>
      </c>
      <c r="L23" s="8">
        <f t="shared" si="19"/>
        <v>39939.4604838788</v>
      </c>
      <c r="M23" s="8">
        <f t="shared" si="19"/>
        <v>39701.720062877757</v>
      </c>
      <c r="N23" s="8">
        <f t="shared" si="19"/>
        <v>39426.619421195508</v>
      </c>
      <c r="O23" s="8">
        <f t="shared" si="19"/>
        <v>39201.720260045004</v>
      </c>
      <c r="P23" s="8">
        <f t="shared" si="19"/>
        <v>38973.343451000001</v>
      </c>
      <c r="Q23" s="8">
        <f t="shared" si="19"/>
        <v>38706.951998750003</v>
      </c>
      <c r="R23" s="8">
        <f t="shared" si="19"/>
        <v>38269.034037499994</v>
      </c>
      <c r="S23" s="8">
        <f t="shared" si="19"/>
        <v>37752.942499999997</v>
      </c>
      <c r="T23" s="8">
        <f t="shared" si="19"/>
        <v>37144.1</v>
      </c>
      <c r="U23" s="8">
        <f>U22+7088+900</f>
        <v>36434</v>
      </c>
      <c r="V23" s="11">
        <v>35534</v>
      </c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5"/>
      <c r="AI23" s="5"/>
      <c r="AJ23" s="5"/>
      <c r="AK23" s="1"/>
      <c r="AL23" s="1"/>
    </row>
    <row r="24" spans="1:38" ht="22.5" x14ac:dyDescent="0.2">
      <c r="A24" s="6">
        <v>1384</v>
      </c>
      <c r="B24" s="8">
        <f t="shared" ref="B24:U24" si="20">B23+5330+1020</f>
        <v>47928.015297654107</v>
      </c>
      <c r="C24" s="8">
        <f t="shared" si="20"/>
        <v>47801.946572414112</v>
      </c>
      <c r="D24" s="8">
        <f t="shared" si="20"/>
        <v>47801.946572414112</v>
      </c>
      <c r="E24" s="8">
        <f t="shared" si="20"/>
        <v>47612.843484554112</v>
      </c>
      <c r="F24" s="8">
        <f t="shared" si="20"/>
        <v>47423.740396694113</v>
      </c>
      <c r="G24" s="8">
        <f t="shared" si="20"/>
        <v>47234.637308834121</v>
      </c>
      <c r="H24" s="8">
        <f t="shared" si="20"/>
        <v>47045.534220974128</v>
      </c>
      <c r="I24" s="8">
        <f t="shared" si="20"/>
        <v>46887.948314424131</v>
      </c>
      <c r="J24" s="8">
        <f t="shared" si="20"/>
        <v>46667.328045254137</v>
      </c>
      <c r="K24" s="8">
        <f t="shared" si="20"/>
        <v>46496.27570668987</v>
      </c>
      <c r="L24" s="8">
        <f t="shared" si="20"/>
        <v>46289.4604838788</v>
      </c>
      <c r="M24" s="8">
        <f t="shared" si="20"/>
        <v>46051.720062877757</v>
      </c>
      <c r="N24" s="8">
        <f t="shared" si="20"/>
        <v>45776.619421195508</v>
      </c>
      <c r="O24" s="8">
        <f t="shared" si="20"/>
        <v>45551.720260045004</v>
      </c>
      <c r="P24" s="8">
        <f t="shared" si="20"/>
        <v>45323.343451000001</v>
      </c>
      <c r="Q24" s="8">
        <f t="shared" si="20"/>
        <v>45056.951998750003</v>
      </c>
      <c r="R24" s="8">
        <f t="shared" si="20"/>
        <v>44619.034037499994</v>
      </c>
      <c r="S24" s="8">
        <f t="shared" si="20"/>
        <v>44102.942499999997</v>
      </c>
      <c r="T24" s="8">
        <f t="shared" si="20"/>
        <v>43494.1</v>
      </c>
      <c r="U24" s="8">
        <f t="shared" si="20"/>
        <v>42784</v>
      </c>
      <c r="V24" s="8">
        <f>V23+5330+1020</f>
        <v>41884</v>
      </c>
      <c r="W24" s="11">
        <v>40864</v>
      </c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5"/>
      <c r="AI24" s="5"/>
      <c r="AJ24" s="5"/>
      <c r="AK24" s="1"/>
      <c r="AL24" s="1"/>
    </row>
    <row r="25" spans="1:38" ht="22.5" x14ac:dyDescent="0.2">
      <c r="A25" s="6">
        <v>1385</v>
      </c>
      <c r="B25" s="8">
        <f t="shared" ref="B25:V25" si="21">B24+(10%*B24)+5000+1250</f>
        <v>58970.81682741952</v>
      </c>
      <c r="C25" s="8">
        <f t="shared" si="21"/>
        <v>58832.141229655521</v>
      </c>
      <c r="D25" s="8">
        <f t="shared" si="21"/>
        <v>58832.141229655521</v>
      </c>
      <c r="E25" s="8">
        <f t="shared" si="21"/>
        <v>58624.127833009523</v>
      </c>
      <c r="F25" s="8">
        <f t="shared" si="21"/>
        <v>58416.114436363525</v>
      </c>
      <c r="G25" s="8">
        <f t="shared" si="21"/>
        <v>58208.101039717534</v>
      </c>
      <c r="H25" s="8">
        <f t="shared" si="21"/>
        <v>58000.087643071543</v>
      </c>
      <c r="I25" s="8">
        <f t="shared" si="21"/>
        <v>57826.743145866545</v>
      </c>
      <c r="J25" s="8">
        <f t="shared" si="21"/>
        <v>57584.060849779547</v>
      </c>
      <c r="K25" s="8">
        <f t="shared" si="21"/>
        <v>57395.903277358855</v>
      </c>
      <c r="L25" s="8">
        <f t="shared" si="21"/>
        <v>57168.406532266679</v>
      </c>
      <c r="M25" s="8">
        <f t="shared" si="21"/>
        <v>56906.892069165537</v>
      </c>
      <c r="N25" s="8">
        <f t="shared" si="21"/>
        <v>56604.281363315058</v>
      </c>
      <c r="O25" s="8">
        <f t="shared" si="21"/>
        <v>56356.892286049508</v>
      </c>
      <c r="P25" s="8">
        <f t="shared" si="21"/>
        <v>56105.677796100004</v>
      </c>
      <c r="Q25" s="8">
        <f t="shared" si="21"/>
        <v>55812.647198625004</v>
      </c>
      <c r="R25" s="8">
        <f t="shared" si="21"/>
        <v>55330.937441249996</v>
      </c>
      <c r="S25" s="8">
        <f t="shared" si="21"/>
        <v>54763.236749999996</v>
      </c>
      <c r="T25" s="8">
        <f t="shared" si="21"/>
        <v>54093.509999999995</v>
      </c>
      <c r="U25" s="8">
        <f t="shared" si="21"/>
        <v>53312.4</v>
      </c>
      <c r="V25" s="8">
        <f t="shared" si="21"/>
        <v>52322.400000000001</v>
      </c>
      <c r="W25" s="8">
        <f>W24+(10%*W24)+5000+1250</f>
        <v>51200.4</v>
      </c>
      <c r="X25" s="11">
        <v>50000</v>
      </c>
      <c r="Y25" s="12"/>
      <c r="Z25" s="12"/>
      <c r="AA25" s="12"/>
      <c r="AB25" s="12"/>
      <c r="AC25" s="12"/>
      <c r="AD25" s="12"/>
      <c r="AE25" s="12"/>
      <c r="AF25" s="12"/>
      <c r="AG25" s="12"/>
      <c r="AH25" s="5"/>
      <c r="AI25" s="5"/>
      <c r="AJ25" s="5"/>
      <c r="AK25" s="1"/>
      <c r="AL25" s="1"/>
    </row>
    <row r="26" spans="1:38" ht="22.5" x14ac:dyDescent="0.2">
      <c r="A26" s="6">
        <v>1386</v>
      </c>
      <c r="B26" s="8">
        <f t="shared" ref="B26:Q26" si="22">B25+(10%*B25)+1250</f>
        <v>66117.898510161467</v>
      </c>
      <c r="C26" s="8">
        <f t="shared" si="22"/>
        <v>65965.355352621074</v>
      </c>
      <c r="D26" s="8">
        <f t="shared" si="22"/>
        <v>65965.355352621074</v>
      </c>
      <c r="E26" s="8">
        <f t="shared" si="22"/>
        <v>65736.540616310478</v>
      </c>
      <c r="F26" s="8">
        <f t="shared" si="22"/>
        <v>65507.725879999882</v>
      </c>
      <c r="G26" s="8">
        <f t="shared" si="22"/>
        <v>65278.911143689285</v>
      </c>
      <c r="H26" s="8">
        <f t="shared" si="22"/>
        <v>65050.096407378696</v>
      </c>
      <c r="I26" s="8">
        <f t="shared" si="22"/>
        <v>64859.417460453202</v>
      </c>
      <c r="J26" s="8">
        <f t="shared" si="22"/>
        <v>64592.466934757504</v>
      </c>
      <c r="K26" s="8">
        <f t="shared" si="22"/>
        <v>64385.493605094744</v>
      </c>
      <c r="L26" s="8">
        <f t="shared" si="22"/>
        <v>64135.247185493346</v>
      </c>
      <c r="M26" s="8">
        <f t="shared" si="22"/>
        <v>63847.581276082092</v>
      </c>
      <c r="N26" s="8">
        <f t="shared" si="22"/>
        <v>63514.70949964656</v>
      </c>
      <c r="O26" s="8">
        <f t="shared" si="22"/>
        <v>63242.581514654463</v>
      </c>
      <c r="P26" s="8">
        <f t="shared" si="22"/>
        <v>62966.245575710003</v>
      </c>
      <c r="Q26" s="8">
        <f t="shared" si="22"/>
        <v>62643.911918487502</v>
      </c>
      <c r="R26" s="8">
        <f>Y26+1250</f>
        <v>62250</v>
      </c>
      <c r="S26" s="8">
        <f>Y26+1250</f>
        <v>62250</v>
      </c>
      <c r="T26" s="8">
        <f>Y26+1250</f>
        <v>62250</v>
      </c>
      <c r="U26" s="8">
        <f>Y26+1250</f>
        <v>62250</v>
      </c>
      <c r="V26" s="8">
        <f>Y26+1250</f>
        <v>62250</v>
      </c>
      <c r="W26" s="8">
        <f>Y26+1250</f>
        <v>62250</v>
      </c>
      <c r="X26" s="8">
        <f>Y26+1250</f>
        <v>62250</v>
      </c>
      <c r="Y26" s="11">
        <v>61000</v>
      </c>
      <c r="Z26" s="12"/>
      <c r="AA26" s="12"/>
      <c r="AB26" s="12"/>
      <c r="AC26" s="12"/>
      <c r="AD26" s="12"/>
      <c r="AE26" s="12"/>
      <c r="AF26" s="12"/>
      <c r="AG26" s="12"/>
      <c r="AH26" s="5"/>
      <c r="AI26" s="5"/>
      <c r="AJ26" s="5"/>
      <c r="AK26" s="1"/>
      <c r="AL26" s="1"/>
    </row>
    <row r="27" spans="1:38" ht="22.5" x14ac:dyDescent="0.2">
      <c r="A27" s="6">
        <v>1387</v>
      </c>
      <c r="B27" s="8">
        <f t="shared" ref="B27:X27" si="23">B26+(5%*B26)+9150+1250</f>
        <v>79823.793435669533</v>
      </c>
      <c r="C27" s="8">
        <f t="shared" si="23"/>
        <v>79663.62312025213</v>
      </c>
      <c r="D27" s="8">
        <f t="shared" si="23"/>
        <v>79663.62312025213</v>
      </c>
      <c r="E27" s="8">
        <f t="shared" si="23"/>
        <v>79423.367647125997</v>
      </c>
      <c r="F27" s="8">
        <f t="shared" si="23"/>
        <v>79183.112173999878</v>
      </c>
      <c r="G27" s="8">
        <f t="shared" si="23"/>
        <v>78942.856700873745</v>
      </c>
      <c r="H27" s="8">
        <f t="shared" si="23"/>
        <v>78702.601227747626</v>
      </c>
      <c r="I27" s="8">
        <f t="shared" si="23"/>
        <v>78502.388333475858</v>
      </c>
      <c r="J27" s="8">
        <f t="shared" si="23"/>
        <v>78222.090281495373</v>
      </c>
      <c r="K27" s="8">
        <f t="shared" si="23"/>
        <v>78004.768285349477</v>
      </c>
      <c r="L27" s="8">
        <f t="shared" si="23"/>
        <v>77742.009544768021</v>
      </c>
      <c r="M27" s="8">
        <f t="shared" si="23"/>
        <v>77439.960339886195</v>
      </c>
      <c r="N27" s="8">
        <f t="shared" si="23"/>
        <v>77090.444974628888</v>
      </c>
      <c r="O27" s="8">
        <f t="shared" si="23"/>
        <v>76804.710590387185</v>
      </c>
      <c r="P27" s="8">
        <f t="shared" si="23"/>
        <v>76514.557854495506</v>
      </c>
      <c r="Q27" s="8">
        <f t="shared" si="23"/>
        <v>76176.10751441188</v>
      </c>
      <c r="R27" s="8">
        <f t="shared" si="23"/>
        <v>75762.5</v>
      </c>
      <c r="S27" s="8">
        <f t="shared" si="23"/>
        <v>75762.5</v>
      </c>
      <c r="T27" s="8">
        <f t="shared" si="23"/>
        <v>75762.5</v>
      </c>
      <c r="U27" s="8">
        <f t="shared" si="23"/>
        <v>75762.5</v>
      </c>
      <c r="V27" s="8">
        <f t="shared" si="23"/>
        <v>75762.5</v>
      </c>
      <c r="W27" s="8">
        <f t="shared" si="23"/>
        <v>75762.5</v>
      </c>
      <c r="X27" s="8">
        <f t="shared" si="23"/>
        <v>75762.5</v>
      </c>
      <c r="Y27" s="8">
        <f>Y26+(5%*Y26)+9150+1250</f>
        <v>74450</v>
      </c>
      <c r="Z27" s="11">
        <v>73200</v>
      </c>
      <c r="AA27" s="12"/>
      <c r="AB27" s="12"/>
      <c r="AC27" s="12"/>
      <c r="AD27" s="12"/>
      <c r="AE27" s="12"/>
      <c r="AF27" s="12"/>
      <c r="AG27" s="12"/>
      <c r="AH27" s="5"/>
      <c r="AI27" s="5"/>
      <c r="AJ27" s="5"/>
      <c r="AK27" s="1"/>
      <c r="AL27" s="1"/>
    </row>
    <row r="28" spans="1:38" ht="22.5" x14ac:dyDescent="0.2">
      <c r="A28" s="6">
        <v>1388</v>
      </c>
      <c r="B28" s="8">
        <f t="shared" ref="B28:Y28" si="24">B27+(5%*B27)+10980+1250</f>
        <v>96044.983107453008</v>
      </c>
      <c r="C28" s="8">
        <f t="shared" si="24"/>
        <v>95876.804276264738</v>
      </c>
      <c r="D28" s="8">
        <f t="shared" si="24"/>
        <v>95876.804276264738</v>
      </c>
      <c r="E28" s="8">
        <f t="shared" si="24"/>
        <v>95624.536029482289</v>
      </c>
      <c r="F28" s="8">
        <f t="shared" si="24"/>
        <v>95372.26778269987</v>
      </c>
      <c r="G28" s="8">
        <f t="shared" si="24"/>
        <v>95119.999535917435</v>
      </c>
      <c r="H28" s="8">
        <f t="shared" si="24"/>
        <v>94867.731289135001</v>
      </c>
      <c r="I28" s="8">
        <f t="shared" si="24"/>
        <v>94657.507750149656</v>
      </c>
      <c r="J28" s="8">
        <f t="shared" si="24"/>
        <v>94363.194795570147</v>
      </c>
      <c r="K28" s="8">
        <f t="shared" si="24"/>
        <v>94135.006699616948</v>
      </c>
      <c r="L28" s="8">
        <f t="shared" si="24"/>
        <v>93859.110022006425</v>
      </c>
      <c r="M28" s="8">
        <f t="shared" si="24"/>
        <v>93541.95835688051</v>
      </c>
      <c r="N28" s="8">
        <f t="shared" si="24"/>
        <v>93174.967223360334</v>
      </c>
      <c r="O28" s="8">
        <f t="shared" si="24"/>
        <v>92874.946119906541</v>
      </c>
      <c r="P28" s="8">
        <f t="shared" si="24"/>
        <v>92570.285747220274</v>
      </c>
      <c r="Q28" s="8">
        <f t="shared" si="24"/>
        <v>92214.912890132473</v>
      </c>
      <c r="R28" s="8">
        <f t="shared" si="24"/>
        <v>91780.625</v>
      </c>
      <c r="S28" s="8">
        <f t="shared" si="24"/>
        <v>91780.625</v>
      </c>
      <c r="T28" s="8">
        <f t="shared" si="24"/>
        <v>91780.625</v>
      </c>
      <c r="U28" s="8">
        <f t="shared" si="24"/>
        <v>91780.625</v>
      </c>
      <c r="V28" s="8">
        <f t="shared" si="24"/>
        <v>91780.625</v>
      </c>
      <c r="W28" s="8">
        <f t="shared" si="24"/>
        <v>91780.625</v>
      </c>
      <c r="X28" s="8">
        <f t="shared" si="24"/>
        <v>91780.625</v>
      </c>
      <c r="Y28" s="8">
        <f t="shared" si="24"/>
        <v>90402.5</v>
      </c>
      <c r="Z28" s="8">
        <f>Z27+(5%*Z27)+10980+1250</f>
        <v>89090</v>
      </c>
      <c r="AA28" s="11">
        <v>87840</v>
      </c>
      <c r="AB28" s="12"/>
      <c r="AC28" s="12"/>
      <c r="AD28" s="12"/>
      <c r="AE28" s="12"/>
      <c r="AF28" s="12"/>
      <c r="AG28" s="12"/>
      <c r="AH28" s="5"/>
      <c r="AI28" s="5"/>
      <c r="AJ28" s="5"/>
      <c r="AK28" s="1"/>
      <c r="AL28" s="1"/>
    </row>
    <row r="29" spans="1:38" ht="22.5" x14ac:dyDescent="0.2">
      <c r="A29" s="6">
        <v>1389</v>
      </c>
      <c r="B29" s="8">
        <f t="shared" ref="B29:Z29" si="25">(7%*B28)+B28+7011+2000</f>
        <v>111779.13192497472</v>
      </c>
      <c r="C29" s="8">
        <f t="shared" si="25"/>
        <v>111599.18057560327</v>
      </c>
      <c r="D29" s="8">
        <f t="shared" si="25"/>
        <v>111599.18057560327</v>
      </c>
      <c r="E29" s="8">
        <f t="shared" si="25"/>
        <v>111329.25355154605</v>
      </c>
      <c r="F29" s="8">
        <f t="shared" si="25"/>
        <v>111059.32652748885</v>
      </c>
      <c r="G29" s="8">
        <f t="shared" si="25"/>
        <v>110789.39950343166</v>
      </c>
      <c r="H29" s="8">
        <f t="shared" si="25"/>
        <v>110519.47247937445</v>
      </c>
      <c r="I29" s="8">
        <f t="shared" si="25"/>
        <v>110294.53329266014</v>
      </c>
      <c r="J29" s="8">
        <f t="shared" si="25"/>
        <v>109979.61843126005</v>
      </c>
      <c r="K29" s="8">
        <f t="shared" si="25"/>
        <v>109735.45716859013</v>
      </c>
      <c r="L29" s="8">
        <f t="shared" si="25"/>
        <v>109440.24772354687</v>
      </c>
      <c r="M29" s="8">
        <f t="shared" si="25"/>
        <v>109100.89544186214</v>
      </c>
      <c r="N29" s="8">
        <f t="shared" si="25"/>
        <v>108708.21492899556</v>
      </c>
      <c r="O29" s="8">
        <f t="shared" si="25"/>
        <v>108387.1923483</v>
      </c>
      <c r="P29" s="8">
        <f t="shared" si="25"/>
        <v>108061.20574952569</v>
      </c>
      <c r="Q29" s="8">
        <f t="shared" si="25"/>
        <v>107680.95679244175</v>
      </c>
      <c r="R29" s="8">
        <f t="shared" si="25"/>
        <v>107216.26875</v>
      </c>
      <c r="S29" s="8">
        <f t="shared" si="25"/>
        <v>107216.26875</v>
      </c>
      <c r="T29" s="8">
        <f t="shared" si="25"/>
        <v>107216.26875</v>
      </c>
      <c r="U29" s="8">
        <f t="shared" si="25"/>
        <v>107216.26875</v>
      </c>
      <c r="V29" s="8">
        <f t="shared" si="25"/>
        <v>107216.26875</v>
      </c>
      <c r="W29" s="8">
        <f t="shared" si="25"/>
        <v>107216.26875</v>
      </c>
      <c r="X29" s="8">
        <f t="shared" si="25"/>
        <v>107216.26875</v>
      </c>
      <c r="Y29" s="8">
        <f t="shared" si="25"/>
        <v>105741.675</v>
      </c>
      <c r="Z29" s="8">
        <f t="shared" si="25"/>
        <v>104337.3</v>
      </c>
      <c r="AA29" s="8">
        <f>(7%*AA28)+AA28+7011+2000</f>
        <v>102999.8</v>
      </c>
      <c r="AB29" s="11">
        <v>101000</v>
      </c>
      <c r="AC29" s="12"/>
      <c r="AD29" s="12"/>
      <c r="AE29" s="12"/>
      <c r="AF29" s="12"/>
      <c r="AG29" s="12"/>
      <c r="AH29" s="5"/>
      <c r="AI29" s="5"/>
      <c r="AJ29" s="5"/>
      <c r="AK29" s="1"/>
      <c r="AL29" s="1"/>
    </row>
    <row r="30" spans="1:38" ht="22.5" x14ac:dyDescent="0.2">
      <c r="A30" s="6">
        <v>1390</v>
      </c>
      <c r="B30" s="8">
        <f t="shared" ref="B30:Y30" si="26">(6%*B29)+B29+3040+2000</f>
        <v>123525.87984047321</v>
      </c>
      <c r="C30" s="8">
        <f t="shared" si="26"/>
        <v>123335.13141013947</v>
      </c>
      <c r="D30" s="8">
        <f t="shared" si="26"/>
        <v>123335.13141013947</v>
      </c>
      <c r="E30" s="8">
        <f t="shared" si="26"/>
        <v>123049.00876463881</v>
      </c>
      <c r="F30" s="8">
        <f t="shared" si="26"/>
        <v>122762.88611913819</v>
      </c>
      <c r="G30" s="8">
        <f t="shared" si="26"/>
        <v>122476.76347363756</v>
      </c>
      <c r="H30" s="8">
        <f t="shared" si="26"/>
        <v>122190.64082813692</v>
      </c>
      <c r="I30" s="8">
        <f t="shared" si="26"/>
        <v>121952.20529021975</v>
      </c>
      <c r="J30" s="8">
        <f t="shared" si="26"/>
        <v>121618.39553713566</v>
      </c>
      <c r="K30" s="8">
        <f t="shared" si="26"/>
        <v>121359.58459870554</v>
      </c>
      <c r="L30" s="8">
        <f t="shared" si="26"/>
        <v>121046.66258695968</v>
      </c>
      <c r="M30" s="8">
        <f t="shared" si="26"/>
        <v>120686.94916837387</v>
      </c>
      <c r="N30" s="8">
        <f t="shared" si="26"/>
        <v>120270.70782473529</v>
      </c>
      <c r="O30" s="8">
        <f t="shared" si="26"/>
        <v>119930.42388919799</v>
      </c>
      <c r="P30" s="8">
        <f t="shared" si="26"/>
        <v>119584.87809449722</v>
      </c>
      <c r="Q30" s="8">
        <f t="shared" si="26"/>
        <v>119181.81419998825</v>
      </c>
      <c r="R30" s="8">
        <f t="shared" si="26"/>
        <v>118689.244875</v>
      </c>
      <c r="S30" s="8">
        <f t="shared" si="26"/>
        <v>118689.244875</v>
      </c>
      <c r="T30" s="8">
        <f t="shared" si="26"/>
        <v>118689.244875</v>
      </c>
      <c r="U30" s="8">
        <f t="shared" si="26"/>
        <v>118689.244875</v>
      </c>
      <c r="V30" s="8">
        <f t="shared" si="26"/>
        <v>118689.244875</v>
      </c>
      <c r="W30" s="8">
        <f t="shared" si="26"/>
        <v>118689.244875</v>
      </c>
      <c r="X30" s="8">
        <f t="shared" si="26"/>
        <v>118689.244875</v>
      </c>
      <c r="Y30" s="8">
        <f t="shared" si="26"/>
        <v>117126.1755</v>
      </c>
      <c r="Z30" s="8">
        <f>(6%*Z29)+Z29+3040+2000</f>
        <v>115637.538</v>
      </c>
      <c r="AA30" s="8">
        <f>(6%*AA29)+AA29+3040+2000</f>
        <v>114219.788</v>
      </c>
      <c r="AB30" s="8">
        <f>(6%*AB29)+AB29+3040+2000</f>
        <v>112100</v>
      </c>
      <c r="AC30" s="14">
        <v>110100</v>
      </c>
      <c r="AD30" s="12"/>
      <c r="AE30" s="12"/>
      <c r="AF30" s="12"/>
      <c r="AG30" s="12"/>
      <c r="AH30" s="5"/>
      <c r="AI30" s="5"/>
      <c r="AJ30" s="5"/>
      <c r="AK30" s="1"/>
      <c r="AL30" s="1"/>
    </row>
    <row r="31" spans="1:38" ht="22.5" x14ac:dyDescent="0.2">
      <c r="A31" s="6">
        <v>1391</v>
      </c>
      <c r="B31" s="8">
        <f t="shared" ref="B31:AC31" si="27">(7%*B30)+B30+12093+2500</f>
        <v>146765.69142930635</v>
      </c>
      <c r="C31" s="8">
        <f t="shared" si="27"/>
        <v>146561.59060884922</v>
      </c>
      <c r="D31" s="8">
        <f t="shared" si="27"/>
        <v>146561.59060884922</v>
      </c>
      <c r="E31" s="8">
        <f t="shared" si="27"/>
        <v>146255.43937816354</v>
      </c>
      <c r="F31" s="8">
        <f t="shared" si="27"/>
        <v>145949.28814747787</v>
      </c>
      <c r="G31" s="8">
        <f t="shared" si="27"/>
        <v>145643.13691679219</v>
      </c>
      <c r="H31" s="8">
        <f t="shared" si="27"/>
        <v>145336.98568610649</v>
      </c>
      <c r="I31" s="8">
        <f t="shared" si="27"/>
        <v>145081.85966053512</v>
      </c>
      <c r="J31" s="8">
        <f t="shared" si="27"/>
        <v>144724.68322473514</v>
      </c>
      <c r="K31" s="8">
        <f t="shared" si="27"/>
        <v>144447.75552061491</v>
      </c>
      <c r="L31" s="8">
        <f t="shared" si="27"/>
        <v>144112.92896804685</v>
      </c>
      <c r="M31" s="8">
        <f t="shared" si="27"/>
        <v>143728.03561016003</v>
      </c>
      <c r="N31" s="8">
        <f t="shared" si="27"/>
        <v>143282.65737246675</v>
      </c>
      <c r="O31" s="8">
        <f t="shared" si="27"/>
        <v>142918.55356144183</v>
      </c>
      <c r="P31" s="8">
        <f t="shared" si="27"/>
        <v>142548.81956111203</v>
      </c>
      <c r="Q31" s="8">
        <f t="shared" si="27"/>
        <v>142117.54119398742</v>
      </c>
      <c r="R31" s="8">
        <f t="shared" si="27"/>
        <v>141590.49201625001</v>
      </c>
      <c r="S31" s="8">
        <f t="shared" si="27"/>
        <v>141590.49201625001</v>
      </c>
      <c r="T31" s="8">
        <f t="shared" si="27"/>
        <v>141590.49201625001</v>
      </c>
      <c r="U31" s="8">
        <f t="shared" si="27"/>
        <v>141590.49201625001</v>
      </c>
      <c r="V31" s="8">
        <f t="shared" si="27"/>
        <v>141590.49201625001</v>
      </c>
      <c r="W31" s="8">
        <f t="shared" si="27"/>
        <v>141590.49201625001</v>
      </c>
      <c r="X31" s="8">
        <f t="shared" si="27"/>
        <v>141590.49201625001</v>
      </c>
      <c r="Y31" s="8">
        <f t="shared" si="27"/>
        <v>139918.00778499999</v>
      </c>
      <c r="Z31" s="8">
        <f t="shared" si="27"/>
        <v>138325.16566</v>
      </c>
      <c r="AA31" s="8">
        <f t="shared" si="27"/>
        <v>136808.17316000001</v>
      </c>
      <c r="AB31" s="8">
        <f t="shared" si="27"/>
        <v>134540</v>
      </c>
      <c r="AC31" s="8">
        <f t="shared" si="27"/>
        <v>132400</v>
      </c>
      <c r="AD31" s="14">
        <v>129900</v>
      </c>
      <c r="AE31" s="12"/>
      <c r="AF31" s="12"/>
      <c r="AG31" s="12"/>
      <c r="AH31" s="5"/>
      <c r="AI31" s="5"/>
      <c r="AJ31" s="5"/>
      <c r="AK31" s="1"/>
      <c r="AL31" s="1"/>
    </row>
    <row r="32" spans="1:38" ht="22.5" x14ac:dyDescent="0.2">
      <c r="A32" s="6">
        <v>1392</v>
      </c>
      <c r="B32" s="8">
        <f t="shared" ref="B32:AB32" si="28">(10%*B31)+B31+19485+3000</f>
        <v>183927.26057223699</v>
      </c>
      <c r="C32" s="8">
        <f t="shared" si="28"/>
        <v>183702.74966973416</v>
      </c>
      <c r="D32" s="8">
        <f t="shared" si="28"/>
        <v>183702.74966973416</v>
      </c>
      <c r="E32" s="8">
        <f t="shared" si="28"/>
        <v>183365.98331597989</v>
      </c>
      <c r="F32" s="8">
        <f t="shared" si="28"/>
        <v>183029.21696222565</v>
      </c>
      <c r="G32" s="8">
        <f t="shared" si="28"/>
        <v>182692.45060847141</v>
      </c>
      <c r="H32" s="8">
        <f t="shared" si="28"/>
        <v>182355.68425471714</v>
      </c>
      <c r="I32" s="8">
        <f t="shared" si="28"/>
        <v>182075.04562658863</v>
      </c>
      <c r="J32" s="8">
        <f t="shared" si="28"/>
        <v>181682.15154720866</v>
      </c>
      <c r="K32" s="8">
        <f t="shared" si="28"/>
        <v>181377.53107267641</v>
      </c>
      <c r="L32" s="8">
        <f t="shared" si="28"/>
        <v>181009.22186485154</v>
      </c>
      <c r="M32" s="8">
        <f t="shared" si="28"/>
        <v>180585.83917117605</v>
      </c>
      <c r="N32" s="8">
        <f t="shared" si="28"/>
        <v>180095.92310971342</v>
      </c>
      <c r="O32" s="8">
        <f t="shared" si="28"/>
        <v>179695.40891758603</v>
      </c>
      <c r="P32" s="8">
        <f t="shared" si="28"/>
        <v>179288.70151722323</v>
      </c>
      <c r="Q32" s="8">
        <f t="shared" si="28"/>
        <v>178814.29531338616</v>
      </c>
      <c r="R32" s="8">
        <f t="shared" si="28"/>
        <v>178234.541217875</v>
      </c>
      <c r="S32" s="8">
        <f t="shared" si="28"/>
        <v>178234.541217875</v>
      </c>
      <c r="T32" s="8">
        <f t="shared" si="28"/>
        <v>178234.541217875</v>
      </c>
      <c r="U32" s="8">
        <f t="shared" si="28"/>
        <v>178234.541217875</v>
      </c>
      <c r="V32" s="8">
        <f t="shared" si="28"/>
        <v>178234.541217875</v>
      </c>
      <c r="W32" s="8">
        <f t="shared" si="28"/>
        <v>178234.541217875</v>
      </c>
      <c r="X32" s="8">
        <f t="shared" si="28"/>
        <v>178234.541217875</v>
      </c>
      <c r="Y32" s="8">
        <f t="shared" si="28"/>
        <v>176394.8085635</v>
      </c>
      <c r="Z32" s="8">
        <f t="shared" si="28"/>
        <v>174642.682226</v>
      </c>
      <c r="AA32" s="8">
        <f t="shared" si="28"/>
        <v>172973.99047600001</v>
      </c>
      <c r="AB32" s="8">
        <f t="shared" si="28"/>
        <v>170479</v>
      </c>
      <c r="AC32" s="8">
        <f>(10%*AC31)+AC31+19485+3000</f>
        <v>168125</v>
      </c>
      <c r="AD32" s="8">
        <f>(10%*AD31)+AD31+19485+3000</f>
        <v>165375</v>
      </c>
      <c r="AE32" s="14">
        <v>162375</v>
      </c>
      <c r="AF32" s="12"/>
      <c r="AG32" s="12"/>
      <c r="AH32" s="5"/>
      <c r="AI32" s="5"/>
      <c r="AJ32" s="5"/>
      <c r="AK32" s="1"/>
      <c r="AL32" s="1"/>
    </row>
    <row r="33" spans="1:43" ht="22.5" x14ac:dyDescent="0.2">
      <c r="A33" s="6">
        <v>1393</v>
      </c>
      <c r="B33" s="8">
        <f t="shared" ref="B33:AB33" si="29">(12%*B32)+B32+21110+5000</f>
        <v>232108.53184090543</v>
      </c>
      <c r="C33" s="8">
        <f t="shared" si="29"/>
        <v>231857.07963010226</v>
      </c>
      <c r="D33" s="8">
        <f t="shared" si="29"/>
        <v>231857.07963010226</v>
      </c>
      <c r="E33" s="8">
        <f t="shared" si="29"/>
        <v>231479.90131389748</v>
      </c>
      <c r="F33" s="8">
        <f t="shared" si="29"/>
        <v>231102.72299769273</v>
      </c>
      <c r="G33" s="8">
        <f t="shared" si="29"/>
        <v>230725.54468148798</v>
      </c>
      <c r="H33" s="8">
        <f t="shared" si="29"/>
        <v>230348.3663652832</v>
      </c>
      <c r="I33" s="8">
        <f t="shared" si="29"/>
        <v>230034.05110177927</v>
      </c>
      <c r="J33" s="8">
        <f t="shared" si="29"/>
        <v>229594.0097328737</v>
      </c>
      <c r="K33" s="8">
        <f t="shared" si="29"/>
        <v>229252.83480139758</v>
      </c>
      <c r="L33" s="8">
        <f t="shared" si="29"/>
        <v>228840.32848863374</v>
      </c>
      <c r="M33" s="8">
        <f t="shared" si="29"/>
        <v>228366.13987171717</v>
      </c>
      <c r="N33" s="8">
        <f t="shared" si="29"/>
        <v>227817.43388287904</v>
      </c>
      <c r="O33" s="8">
        <f t="shared" si="29"/>
        <v>227368.85798769636</v>
      </c>
      <c r="P33" s="8">
        <f t="shared" si="29"/>
        <v>226913.34569929002</v>
      </c>
      <c r="Q33" s="8">
        <f t="shared" si="29"/>
        <v>226382.01075099249</v>
      </c>
      <c r="R33" s="8">
        <f t="shared" si="29"/>
        <v>225732.68616402001</v>
      </c>
      <c r="S33" s="8">
        <f t="shared" si="29"/>
        <v>225732.68616402001</v>
      </c>
      <c r="T33" s="8">
        <f t="shared" si="29"/>
        <v>225732.68616402001</v>
      </c>
      <c r="U33" s="8">
        <f t="shared" si="29"/>
        <v>225732.68616402001</v>
      </c>
      <c r="V33" s="8">
        <f t="shared" si="29"/>
        <v>225732.68616402001</v>
      </c>
      <c r="W33" s="8">
        <f t="shared" si="29"/>
        <v>225732.68616402001</v>
      </c>
      <c r="X33" s="8">
        <f t="shared" si="29"/>
        <v>225732.68616402001</v>
      </c>
      <c r="Y33" s="8">
        <f t="shared" si="29"/>
        <v>223672.18559112001</v>
      </c>
      <c r="Z33" s="8">
        <f t="shared" si="29"/>
        <v>221709.80409312001</v>
      </c>
      <c r="AA33" s="8">
        <f t="shared" si="29"/>
        <v>219840.86933312</v>
      </c>
      <c r="AB33" s="8">
        <f t="shared" si="29"/>
        <v>217046.48</v>
      </c>
      <c r="AC33" s="8">
        <f>(12%*AC32)+AC32+21110+5000</f>
        <v>214410</v>
      </c>
      <c r="AD33" s="8">
        <f>(12%*AD32)+AD32+21110+5000</f>
        <v>211330</v>
      </c>
      <c r="AE33" s="8">
        <f>(12%*AE32)+AE32+21110+5000</f>
        <v>207970</v>
      </c>
      <c r="AF33" s="14">
        <v>202970</v>
      </c>
      <c r="AG33" s="12"/>
      <c r="AH33" s="5"/>
      <c r="AI33" s="5"/>
      <c r="AJ33" s="5"/>
      <c r="AK33" s="1"/>
      <c r="AL33" s="1"/>
    </row>
    <row r="34" spans="1:43" ht="22.5" x14ac:dyDescent="0.2">
      <c r="A34" s="6">
        <v>1394</v>
      </c>
      <c r="B34" s="8">
        <f>B33*1.17+10000</f>
        <v>281566.98225385934</v>
      </c>
      <c r="C34" s="8">
        <f>C33*1.17+10000</f>
        <v>281272.7831672196</v>
      </c>
      <c r="D34" s="8">
        <f t="shared" ref="D34:AF34" si="30">D33*1.17+10000</f>
        <v>281272.7831672196</v>
      </c>
      <c r="E34" s="8">
        <f t="shared" si="30"/>
        <v>280831.48453726002</v>
      </c>
      <c r="F34" s="8">
        <f t="shared" si="30"/>
        <v>280390.1859073005</v>
      </c>
      <c r="G34" s="8">
        <f t="shared" si="30"/>
        <v>279948.88727734092</v>
      </c>
      <c r="H34" s="8">
        <f t="shared" si="30"/>
        <v>279507.58864738134</v>
      </c>
      <c r="I34" s="8">
        <f t="shared" si="30"/>
        <v>279139.83978908171</v>
      </c>
      <c r="J34" s="8">
        <f t="shared" si="30"/>
        <v>278624.99138746224</v>
      </c>
      <c r="K34" s="8">
        <f t="shared" si="30"/>
        <v>278225.81671763514</v>
      </c>
      <c r="L34" s="8">
        <f t="shared" si="30"/>
        <v>277743.18433170143</v>
      </c>
      <c r="M34" s="8">
        <f t="shared" si="30"/>
        <v>277188.38364990905</v>
      </c>
      <c r="N34" s="8">
        <f t="shared" si="30"/>
        <v>276546.39764296846</v>
      </c>
      <c r="O34" s="8">
        <f t="shared" si="30"/>
        <v>276021.56384560472</v>
      </c>
      <c r="P34" s="8">
        <f t="shared" si="30"/>
        <v>275488.61446816928</v>
      </c>
      <c r="Q34" s="8">
        <f t="shared" si="30"/>
        <v>274866.95257866121</v>
      </c>
      <c r="R34" s="8">
        <f t="shared" si="30"/>
        <v>274107.24281190342</v>
      </c>
      <c r="S34" s="8">
        <f t="shared" si="30"/>
        <v>274107.24281190342</v>
      </c>
      <c r="T34" s="8">
        <f t="shared" si="30"/>
        <v>274107.24281190342</v>
      </c>
      <c r="U34" s="8">
        <f t="shared" si="30"/>
        <v>274107.24281190342</v>
      </c>
      <c r="V34" s="8">
        <f t="shared" si="30"/>
        <v>274107.24281190342</v>
      </c>
      <c r="W34" s="8">
        <f t="shared" si="30"/>
        <v>274107.24281190342</v>
      </c>
      <c r="X34" s="8">
        <f t="shared" si="30"/>
        <v>274107.24281190342</v>
      </c>
      <c r="Y34" s="8">
        <f t="shared" si="30"/>
        <v>271696.45714161039</v>
      </c>
      <c r="Z34" s="8">
        <f t="shared" si="30"/>
        <v>269400.47078895039</v>
      </c>
      <c r="AA34" s="8">
        <f t="shared" si="30"/>
        <v>267213.81711975043</v>
      </c>
      <c r="AB34" s="8">
        <f t="shared" si="30"/>
        <v>263944.38159999996</v>
      </c>
      <c r="AC34" s="8">
        <f t="shared" si="30"/>
        <v>260859.69999999998</v>
      </c>
      <c r="AD34" s="8">
        <f t="shared" si="30"/>
        <v>257256.09999999998</v>
      </c>
      <c r="AE34" s="8">
        <f t="shared" si="30"/>
        <v>253324.9</v>
      </c>
      <c r="AF34" s="8">
        <f t="shared" si="30"/>
        <v>247474.9</v>
      </c>
      <c r="AG34" s="14">
        <v>237475</v>
      </c>
      <c r="AH34" s="5"/>
      <c r="AI34" s="5"/>
      <c r="AJ34" s="5"/>
      <c r="AK34" s="1"/>
      <c r="AL34" s="1"/>
    </row>
    <row r="35" spans="1:43" ht="22.5" x14ac:dyDescent="0.2">
      <c r="A35" s="6">
        <v>1395</v>
      </c>
      <c r="B35" s="8">
        <f>B34*1.14+10000</f>
        <v>330986.35976939963</v>
      </c>
      <c r="C35" s="8">
        <f t="shared" ref="C35:AG35" si="31">C34*1.14+10000</f>
        <v>330650.97281063034</v>
      </c>
      <c r="D35" s="8">
        <f t="shared" si="31"/>
        <v>330650.97281063034</v>
      </c>
      <c r="E35" s="8">
        <f t="shared" si="31"/>
        <v>330147.8923724764</v>
      </c>
      <c r="F35" s="8">
        <f t="shared" si="31"/>
        <v>329644.81193432253</v>
      </c>
      <c r="G35" s="8">
        <f t="shared" si="31"/>
        <v>329141.73149616865</v>
      </c>
      <c r="H35" s="8">
        <f t="shared" si="31"/>
        <v>328638.65105801472</v>
      </c>
      <c r="I35" s="8">
        <f t="shared" si="31"/>
        <v>328219.4173595531</v>
      </c>
      <c r="J35" s="8">
        <f t="shared" si="31"/>
        <v>327632.4901817069</v>
      </c>
      <c r="K35" s="8">
        <f t="shared" si="31"/>
        <v>327177.43105810403</v>
      </c>
      <c r="L35" s="8">
        <f t="shared" si="31"/>
        <v>326627.23013813962</v>
      </c>
      <c r="M35" s="8">
        <f t="shared" si="31"/>
        <v>325994.75736089627</v>
      </c>
      <c r="N35" s="8">
        <f t="shared" si="31"/>
        <v>325262.89331298403</v>
      </c>
      <c r="O35" s="8">
        <f t="shared" si="31"/>
        <v>324664.58278398938</v>
      </c>
      <c r="P35" s="8">
        <f t="shared" si="31"/>
        <v>324057.02049371297</v>
      </c>
      <c r="Q35" s="8">
        <f t="shared" si="31"/>
        <v>323348.32593967376</v>
      </c>
      <c r="R35" s="8">
        <f t="shared" si="31"/>
        <v>322482.25680556986</v>
      </c>
      <c r="S35" s="8">
        <f t="shared" si="31"/>
        <v>322482.25680556986</v>
      </c>
      <c r="T35" s="8">
        <f t="shared" si="31"/>
        <v>322482.25680556986</v>
      </c>
      <c r="U35" s="8">
        <f t="shared" si="31"/>
        <v>322482.25680556986</v>
      </c>
      <c r="V35" s="8">
        <f t="shared" si="31"/>
        <v>322482.25680556986</v>
      </c>
      <c r="W35" s="8">
        <f t="shared" si="31"/>
        <v>322482.25680556986</v>
      </c>
      <c r="X35" s="8">
        <f t="shared" si="31"/>
        <v>322482.25680556986</v>
      </c>
      <c r="Y35" s="8">
        <f t="shared" si="31"/>
        <v>319733.96114143584</v>
      </c>
      <c r="Z35" s="8">
        <f t="shared" si="31"/>
        <v>317116.53669940343</v>
      </c>
      <c r="AA35" s="8">
        <f t="shared" si="31"/>
        <v>314623.75151651545</v>
      </c>
      <c r="AB35" s="8">
        <f t="shared" si="31"/>
        <v>310896.59502399992</v>
      </c>
      <c r="AC35" s="8">
        <f t="shared" si="31"/>
        <v>307380.05799999996</v>
      </c>
      <c r="AD35" s="8">
        <f t="shared" si="31"/>
        <v>303271.95399999997</v>
      </c>
      <c r="AE35" s="8">
        <f t="shared" si="31"/>
        <v>298790.38599999994</v>
      </c>
      <c r="AF35" s="8">
        <f t="shared" si="31"/>
        <v>292121.38599999994</v>
      </c>
      <c r="AG35" s="8">
        <f t="shared" si="31"/>
        <v>280721.5</v>
      </c>
      <c r="AH35" s="14">
        <v>270722</v>
      </c>
      <c r="AI35" s="5"/>
      <c r="AJ35" s="5"/>
      <c r="AK35" s="1"/>
      <c r="AL35" s="1"/>
    </row>
    <row r="36" spans="1:43" ht="22.5" x14ac:dyDescent="0.2">
      <c r="A36" s="6">
        <v>1396</v>
      </c>
      <c r="B36" s="8">
        <f>B35*1.12+6768+17000</f>
        <v>394472.72294172761</v>
      </c>
      <c r="C36" s="8">
        <f t="shared" ref="C36:AH36" si="32">C35*1.12+6768+17000</f>
        <v>394097.08954790601</v>
      </c>
      <c r="D36" s="8">
        <f t="shared" si="32"/>
        <v>394097.08954790601</v>
      </c>
      <c r="E36" s="8">
        <f t="shared" si="32"/>
        <v>393533.63945717359</v>
      </c>
      <c r="F36" s="8">
        <f t="shared" si="32"/>
        <v>392970.18936644128</v>
      </c>
      <c r="G36" s="8">
        <f t="shared" si="32"/>
        <v>392406.73927570891</v>
      </c>
      <c r="H36" s="8">
        <f t="shared" si="32"/>
        <v>391843.28918497654</v>
      </c>
      <c r="I36" s="8">
        <f t="shared" si="32"/>
        <v>391373.7474426995</v>
      </c>
      <c r="J36" s="8">
        <f t="shared" si="32"/>
        <v>390716.38900351175</v>
      </c>
      <c r="K36" s="8">
        <f t="shared" si="32"/>
        <v>390206.72278507653</v>
      </c>
      <c r="L36" s="8">
        <f t="shared" si="32"/>
        <v>389590.49775471643</v>
      </c>
      <c r="M36" s="8">
        <f t="shared" si="32"/>
        <v>388882.12824420386</v>
      </c>
      <c r="N36" s="8">
        <f t="shared" si="32"/>
        <v>388062.44051054213</v>
      </c>
      <c r="O36" s="8">
        <f t="shared" si="32"/>
        <v>387392.33271806815</v>
      </c>
      <c r="P36" s="8">
        <f t="shared" si="32"/>
        <v>386711.86295295856</v>
      </c>
      <c r="Q36" s="8">
        <f t="shared" si="32"/>
        <v>385918.12505243463</v>
      </c>
      <c r="R36" s="8">
        <f t="shared" si="32"/>
        <v>384948.1276222383</v>
      </c>
      <c r="S36" s="8">
        <f t="shared" si="32"/>
        <v>384948.1276222383</v>
      </c>
      <c r="T36" s="8">
        <f t="shared" si="32"/>
        <v>384948.1276222383</v>
      </c>
      <c r="U36" s="8">
        <f t="shared" si="32"/>
        <v>384948.1276222383</v>
      </c>
      <c r="V36" s="8">
        <f t="shared" si="32"/>
        <v>384948.1276222383</v>
      </c>
      <c r="W36" s="8">
        <f t="shared" si="32"/>
        <v>384948.1276222383</v>
      </c>
      <c r="X36" s="8">
        <f t="shared" si="32"/>
        <v>384948.1276222383</v>
      </c>
      <c r="Y36" s="8">
        <f t="shared" si="32"/>
        <v>381870.03647840815</v>
      </c>
      <c r="Z36" s="8">
        <f t="shared" si="32"/>
        <v>378938.52110333188</v>
      </c>
      <c r="AA36" s="8">
        <f t="shared" si="32"/>
        <v>376146.60169849731</v>
      </c>
      <c r="AB36" s="8">
        <f t="shared" si="32"/>
        <v>371972.18642687995</v>
      </c>
      <c r="AC36" s="8">
        <f t="shared" si="32"/>
        <v>368033.66495999997</v>
      </c>
      <c r="AD36" s="8">
        <f t="shared" si="32"/>
        <v>363432.58847999998</v>
      </c>
      <c r="AE36" s="8">
        <f t="shared" si="32"/>
        <v>358413.23231999995</v>
      </c>
      <c r="AF36" s="8">
        <f t="shared" si="32"/>
        <v>350943.95231999998</v>
      </c>
      <c r="AG36" s="8">
        <f t="shared" si="32"/>
        <v>338176.08</v>
      </c>
      <c r="AH36" s="8">
        <f t="shared" si="32"/>
        <v>326976.64000000001</v>
      </c>
      <c r="AI36" s="14">
        <v>309977</v>
      </c>
      <c r="AJ36" s="5"/>
      <c r="AK36" s="1"/>
      <c r="AL36" s="1"/>
    </row>
    <row r="37" spans="1:43" ht="22.5" x14ac:dyDescent="0.2">
      <c r="A37" s="6">
        <v>1397</v>
      </c>
      <c r="B37" s="8">
        <f>B36*1.104+28208+17000</f>
        <v>480705.88612766733</v>
      </c>
      <c r="C37" s="8">
        <f t="shared" ref="C37:AI37" si="33">C36*1.104+28208+17000</f>
        <v>480291.18686088827</v>
      </c>
      <c r="D37" s="8">
        <f t="shared" si="33"/>
        <v>480291.18686088827</v>
      </c>
      <c r="E37" s="8">
        <f t="shared" si="33"/>
        <v>479669.1379607197</v>
      </c>
      <c r="F37" s="8">
        <f t="shared" si="33"/>
        <v>479047.0890605512</v>
      </c>
      <c r="G37" s="8">
        <f t="shared" si="33"/>
        <v>478425.04016038269</v>
      </c>
      <c r="H37" s="8">
        <f t="shared" si="33"/>
        <v>477802.99126021413</v>
      </c>
      <c r="I37" s="8">
        <f t="shared" si="33"/>
        <v>477284.61717674031</v>
      </c>
      <c r="J37" s="8">
        <f t="shared" si="33"/>
        <v>476558.893459877</v>
      </c>
      <c r="K37" s="8">
        <f t="shared" si="33"/>
        <v>475996.22195472452</v>
      </c>
      <c r="L37" s="8">
        <f t="shared" si="33"/>
        <v>475315.90952120698</v>
      </c>
      <c r="M37" s="8">
        <f t="shared" si="33"/>
        <v>474533.86958160112</v>
      </c>
      <c r="N37" s="8">
        <f t="shared" si="33"/>
        <v>473628.93432363856</v>
      </c>
      <c r="O37" s="8">
        <f t="shared" si="33"/>
        <v>472889.13532074727</v>
      </c>
      <c r="P37" s="8">
        <f t="shared" si="33"/>
        <v>472137.89670006628</v>
      </c>
      <c r="Q37" s="8">
        <f t="shared" si="33"/>
        <v>471261.61005788785</v>
      </c>
      <c r="R37" s="8">
        <f t="shared" si="33"/>
        <v>470190.73289495113</v>
      </c>
      <c r="S37" s="8">
        <f t="shared" si="33"/>
        <v>470190.73289495113</v>
      </c>
      <c r="T37" s="8">
        <f t="shared" si="33"/>
        <v>470190.73289495113</v>
      </c>
      <c r="U37" s="8">
        <f t="shared" si="33"/>
        <v>470190.73289495113</v>
      </c>
      <c r="V37" s="8">
        <f t="shared" si="33"/>
        <v>470190.73289495113</v>
      </c>
      <c r="W37" s="8">
        <f t="shared" si="33"/>
        <v>470190.73289495113</v>
      </c>
      <c r="X37" s="8">
        <f t="shared" si="33"/>
        <v>470190.73289495113</v>
      </c>
      <c r="Y37" s="8">
        <f t="shared" si="33"/>
        <v>466792.52027216263</v>
      </c>
      <c r="Z37" s="8">
        <f t="shared" si="33"/>
        <v>463556.12729807844</v>
      </c>
      <c r="AA37" s="8">
        <f t="shared" si="33"/>
        <v>460473.84827514109</v>
      </c>
      <c r="AB37" s="8">
        <f t="shared" si="33"/>
        <v>455865.29381527548</v>
      </c>
      <c r="AC37" s="8">
        <f t="shared" si="33"/>
        <v>451517.16611584002</v>
      </c>
      <c r="AD37" s="8">
        <f t="shared" si="33"/>
        <v>446437.57768192003</v>
      </c>
      <c r="AE37" s="8">
        <f t="shared" si="33"/>
        <v>440896.20848127996</v>
      </c>
      <c r="AF37" s="8">
        <f t="shared" si="33"/>
        <v>432650.12336128001</v>
      </c>
      <c r="AG37" s="8">
        <f t="shared" si="33"/>
        <v>418554.39232000004</v>
      </c>
      <c r="AH37" s="8">
        <f t="shared" si="33"/>
        <v>406190.21056000004</v>
      </c>
      <c r="AI37" s="8">
        <f t="shared" si="33"/>
        <v>387422.60800000001</v>
      </c>
      <c r="AJ37" s="14">
        <v>370423</v>
      </c>
      <c r="AK37" s="1"/>
      <c r="AL37" s="1"/>
    </row>
    <row r="38" spans="1:43" ht="22.5" x14ac:dyDescent="0.2">
      <c r="A38" s="6">
        <v>1398</v>
      </c>
      <c r="B38" s="8">
        <f>B37*1.13+87049+23333</f>
        <v>653579.65132426401</v>
      </c>
      <c r="C38" s="8">
        <f t="shared" ref="C38:AJ38" si="34">C37*1.13+87049+23333</f>
        <v>653111.04115280369</v>
      </c>
      <c r="D38" s="8">
        <f t="shared" si="34"/>
        <v>653111.04115280369</v>
      </c>
      <c r="E38" s="8">
        <f t="shared" si="34"/>
        <v>652408.12589561322</v>
      </c>
      <c r="F38" s="8">
        <f t="shared" si="34"/>
        <v>651705.21063842275</v>
      </c>
      <c r="G38" s="8">
        <f t="shared" si="34"/>
        <v>651002.2953812324</v>
      </c>
      <c r="H38" s="8">
        <f t="shared" si="34"/>
        <v>650299.38012404193</v>
      </c>
      <c r="I38" s="8">
        <f t="shared" si="34"/>
        <v>649713.61740971648</v>
      </c>
      <c r="J38" s="8">
        <f t="shared" si="34"/>
        <v>648893.54960966099</v>
      </c>
      <c r="K38" s="8">
        <f t="shared" si="34"/>
        <v>648257.73080883862</v>
      </c>
      <c r="L38" s="8">
        <f t="shared" si="34"/>
        <v>647488.97775896383</v>
      </c>
      <c r="M38" s="8">
        <f t="shared" si="34"/>
        <v>646605.2726272092</v>
      </c>
      <c r="N38" s="8">
        <f t="shared" si="34"/>
        <v>645582.69578571152</v>
      </c>
      <c r="O38" s="8">
        <f t="shared" si="34"/>
        <v>644746.72291244438</v>
      </c>
      <c r="P38" s="8">
        <f t="shared" si="34"/>
        <v>643897.8232710748</v>
      </c>
      <c r="Q38" s="8">
        <f t="shared" si="34"/>
        <v>642907.61936541321</v>
      </c>
      <c r="R38" s="8">
        <f t="shared" si="34"/>
        <v>641697.52817129472</v>
      </c>
      <c r="S38" s="8">
        <f t="shared" si="34"/>
        <v>641697.52817129472</v>
      </c>
      <c r="T38" s="8">
        <f t="shared" si="34"/>
        <v>641697.52817129472</v>
      </c>
      <c r="U38" s="8">
        <f t="shared" si="34"/>
        <v>641697.52817129472</v>
      </c>
      <c r="V38" s="8">
        <f t="shared" si="34"/>
        <v>641697.52817129472</v>
      </c>
      <c r="W38" s="8">
        <f t="shared" si="34"/>
        <v>641697.52817129472</v>
      </c>
      <c r="X38" s="8">
        <f t="shared" si="34"/>
        <v>641697.52817129472</v>
      </c>
      <c r="Y38" s="8">
        <f t="shared" si="34"/>
        <v>637857.54790754372</v>
      </c>
      <c r="Z38" s="8">
        <f t="shared" si="34"/>
        <v>634200.42384682852</v>
      </c>
      <c r="AA38" s="8">
        <f t="shared" si="34"/>
        <v>630717.44855090941</v>
      </c>
      <c r="AB38" s="8">
        <f t="shared" si="34"/>
        <v>625509.78201126121</v>
      </c>
      <c r="AC38" s="8">
        <f t="shared" si="34"/>
        <v>620596.39771089912</v>
      </c>
      <c r="AD38" s="8">
        <f t="shared" si="34"/>
        <v>614856.46278056956</v>
      </c>
      <c r="AE38" s="8">
        <f t="shared" si="34"/>
        <v>608594.71558384632</v>
      </c>
      <c r="AF38" s="8">
        <f t="shared" si="34"/>
        <v>599276.63939824631</v>
      </c>
      <c r="AG38" s="8">
        <f t="shared" si="34"/>
        <v>583348.46332159999</v>
      </c>
      <c r="AH38" s="8">
        <f t="shared" si="34"/>
        <v>569376.93793280004</v>
      </c>
      <c r="AI38" s="8">
        <f t="shared" si="34"/>
        <v>548169.54703999998</v>
      </c>
      <c r="AJ38" s="8">
        <f t="shared" si="34"/>
        <v>528959.99</v>
      </c>
      <c r="AK38" s="14">
        <v>505627</v>
      </c>
      <c r="AL38" s="1"/>
    </row>
    <row r="39" spans="1:43" ht="22.5" x14ac:dyDescent="0.2">
      <c r="A39" s="6">
        <v>1399</v>
      </c>
      <c r="B39" s="8">
        <f>B38*1.15+55338+33333</f>
        <v>840287.5990229036</v>
      </c>
      <c r="C39" s="8">
        <f>C38*1.15+55338+33333</f>
        <v>839748.69732572418</v>
      </c>
      <c r="D39" s="8">
        <f t="shared" ref="D39:AK39" si="35">D38*1.15+55338+33333</f>
        <v>839748.69732572418</v>
      </c>
      <c r="E39" s="8">
        <f t="shared" si="35"/>
        <v>838940.34477995511</v>
      </c>
      <c r="F39" s="8">
        <f t="shared" si="35"/>
        <v>838131.99223418615</v>
      </c>
      <c r="G39" s="8">
        <f t="shared" si="35"/>
        <v>837323.6396884172</v>
      </c>
      <c r="H39" s="8">
        <f t="shared" si="35"/>
        <v>836515.28714264813</v>
      </c>
      <c r="I39" s="8">
        <f t="shared" si="35"/>
        <v>835841.66002117388</v>
      </c>
      <c r="J39" s="8">
        <f t="shared" si="35"/>
        <v>834898.5820511101</v>
      </c>
      <c r="K39" s="8">
        <f t="shared" si="35"/>
        <v>834167.39043016441</v>
      </c>
      <c r="L39" s="8">
        <f t="shared" si="35"/>
        <v>833283.32442280836</v>
      </c>
      <c r="M39" s="8">
        <f t="shared" si="35"/>
        <v>832267.06352129055</v>
      </c>
      <c r="N39" s="8">
        <f t="shared" si="35"/>
        <v>831091.1001535682</v>
      </c>
      <c r="O39" s="8">
        <f t="shared" si="35"/>
        <v>830129.73134931095</v>
      </c>
      <c r="P39" s="8">
        <f t="shared" si="35"/>
        <v>829153.49676173599</v>
      </c>
      <c r="Q39" s="8">
        <f t="shared" si="35"/>
        <v>828014.7622702251</v>
      </c>
      <c r="R39" s="8">
        <f t="shared" si="35"/>
        <v>826623.15739698883</v>
      </c>
      <c r="S39" s="8">
        <f t="shared" si="35"/>
        <v>826623.15739698883</v>
      </c>
      <c r="T39" s="8">
        <f t="shared" si="35"/>
        <v>826623.15739698883</v>
      </c>
      <c r="U39" s="8">
        <f t="shared" si="35"/>
        <v>826623.15739698883</v>
      </c>
      <c r="V39" s="8">
        <f t="shared" si="35"/>
        <v>826623.15739698883</v>
      </c>
      <c r="W39" s="8">
        <f t="shared" si="35"/>
        <v>826623.15739698883</v>
      </c>
      <c r="X39" s="8">
        <f t="shared" si="35"/>
        <v>826623.15739698883</v>
      </c>
      <c r="Y39" s="8">
        <f t="shared" si="35"/>
        <v>822207.18009367527</v>
      </c>
      <c r="Z39" s="8">
        <f t="shared" si="35"/>
        <v>818001.48742385278</v>
      </c>
      <c r="AA39" s="8">
        <f t="shared" si="35"/>
        <v>813996.06583354576</v>
      </c>
      <c r="AB39" s="8">
        <f t="shared" si="35"/>
        <v>808007.2493129503</v>
      </c>
      <c r="AC39" s="8">
        <f t="shared" si="35"/>
        <v>802356.85736753396</v>
      </c>
      <c r="AD39" s="8">
        <f t="shared" si="35"/>
        <v>795755.93219765497</v>
      </c>
      <c r="AE39" s="8">
        <f t="shared" si="35"/>
        <v>788554.92292142322</v>
      </c>
      <c r="AF39" s="8">
        <f t="shared" si="35"/>
        <v>777839.13530798315</v>
      </c>
      <c r="AG39" s="8">
        <f t="shared" si="35"/>
        <v>759521.73281983996</v>
      </c>
      <c r="AH39" s="8">
        <f t="shared" si="35"/>
        <v>743454.47862271999</v>
      </c>
      <c r="AI39" s="8">
        <f t="shared" si="35"/>
        <v>719065.97909599997</v>
      </c>
      <c r="AJ39" s="8">
        <f t="shared" si="35"/>
        <v>696974.98849999998</v>
      </c>
      <c r="AK39" s="8">
        <f t="shared" si="35"/>
        <v>670142.04999999993</v>
      </c>
      <c r="AL39" s="14">
        <v>636809</v>
      </c>
    </row>
    <row r="40" spans="1:43" ht="20.25" x14ac:dyDescent="0.2">
      <c r="A40" s="15">
        <v>1400</v>
      </c>
      <c r="B40" s="8">
        <f>B39*1.26+82785+46667</f>
        <v>1188214.3747688585</v>
      </c>
      <c r="C40" s="8">
        <f>C39*1.26+82785+46667</f>
        <v>1187535.3586304125</v>
      </c>
      <c r="D40" s="8">
        <f t="shared" ref="D40:S40" si="36">D39*1.26+82785+46667</f>
        <v>1187535.3586304125</v>
      </c>
      <c r="E40" s="8">
        <f t="shared" si="36"/>
        <v>1186516.8344227434</v>
      </c>
      <c r="F40" s="8">
        <f t="shared" si="36"/>
        <v>1185498.3102150746</v>
      </c>
      <c r="G40" s="8">
        <f t="shared" si="36"/>
        <v>1184479.7860074057</v>
      </c>
      <c r="H40" s="8">
        <f t="shared" si="36"/>
        <v>1183461.2617997366</v>
      </c>
      <c r="I40" s="8">
        <f t="shared" si="36"/>
        <v>1182612.4916266792</v>
      </c>
      <c r="J40" s="8">
        <f t="shared" si="36"/>
        <v>1181424.2133843987</v>
      </c>
      <c r="K40" s="8">
        <f t="shared" si="36"/>
        <v>1180502.9119420073</v>
      </c>
      <c r="L40" s="8">
        <f t="shared" si="36"/>
        <v>1179388.9887727385</v>
      </c>
      <c r="M40" s="8">
        <f t="shared" si="36"/>
        <v>1178108.5000368261</v>
      </c>
      <c r="N40" s="8">
        <f t="shared" si="36"/>
        <v>1176626.7861934961</v>
      </c>
      <c r="O40" s="8">
        <f t="shared" si="36"/>
        <v>1175415.4615001318</v>
      </c>
      <c r="P40" s="8">
        <f t="shared" si="36"/>
        <v>1174185.4059197875</v>
      </c>
      <c r="Q40" s="8">
        <f t="shared" si="36"/>
        <v>1172750.6004604837</v>
      </c>
      <c r="R40" s="8">
        <f t="shared" si="36"/>
        <v>1170997.1783202058</v>
      </c>
      <c r="S40" s="8">
        <f t="shared" si="36"/>
        <v>1170997.1783202058</v>
      </c>
      <c r="T40" s="8">
        <f t="shared" ref="T40" si="37">T39*1.26+82785+46667</f>
        <v>1170997.1783202058</v>
      </c>
      <c r="U40" s="8">
        <f t="shared" ref="U40" si="38">U39*1.26+82785+46667</f>
        <v>1170997.1783202058</v>
      </c>
      <c r="V40" s="8">
        <f t="shared" ref="V40" si="39">V39*1.26+82785+46667</f>
        <v>1170997.1783202058</v>
      </c>
      <c r="W40" s="8">
        <f t="shared" ref="W40" si="40">W39*1.26+82785+46667</f>
        <v>1170997.1783202058</v>
      </c>
      <c r="X40" s="8">
        <f t="shared" ref="X40" si="41">X39*1.26+82785+46667</f>
        <v>1170997.1783202058</v>
      </c>
      <c r="Y40" s="8">
        <f t="shared" ref="Y40" si="42">Y39*1.26+82785+46667</f>
        <v>1165433.0469180308</v>
      </c>
      <c r="Z40" s="8">
        <f t="shared" ref="Z40" si="43">Z39*1.26+82785+46667</f>
        <v>1160133.8741540546</v>
      </c>
      <c r="AA40" s="8">
        <f t="shared" ref="AA40" si="44">AA39*1.26+82785+46667</f>
        <v>1155087.0429502677</v>
      </c>
      <c r="AB40" s="8">
        <f t="shared" ref="AB40" si="45">AB39*1.26+82785+46667</f>
        <v>1147541.1341343173</v>
      </c>
      <c r="AC40" s="8">
        <f t="shared" ref="AC40" si="46">AC39*1.26+82785+46667</f>
        <v>1140421.6402830929</v>
      </c>
      <c r="AD40" s="8">
        <f t="shared" ref="AD40" si="47">AD39*1.26+82785+46667</f>
        <v>1132104.4745690452</v>
      </c>
      <c r="AE40" s="8">
        <f t="shared" ref="AE40" si="48">AE39*1.26+82785+46667</f>
        <v>1123031.2028809933</v>
      </c>
      <c r="AF40" s="8">
        <f t="shared" ref="AF40" si="49">AF39*1.26+82785+46667</f>
        <v>1109529.3104880587</v>
      </c>
      <c r="AG40" s="8">
        <f t="shared" ref="AG40" si="50">AG39*1.26+82785+46667</f>
        <v>1086449.3833529984</v>
      </c>
      <c r="AH40" s="8">
        <f t="shared" ref="AH40" si="51">AH39*1.26+82785+46667</f>
        <v>1066204.6430646272</v>
      </c>
      <c r="AI40" s="8">
        <f t="shared" ref="AI40" si="52">AI39*1.26+82785+46667</f>
        <v>1035475.13366096</v>
      </c>
      <c r="AJ40" s="8">
        <f t="shared" ref="AJ40" si="53">AJ39*1.26+82785+46667</f>
        <v>1007640.48551</v>
      </c>
      <c r="AK40" s="8">
        <f t="shared" ref="AK40" si="54">AK39*1.26+82785+46667</f>
        <v>973830.98299999989</v>
      </c>
      <c r="AL40" s="8">
        <f t="shared" ref="AL40" si="55">AL39*1.26+82785+46667</f>
        <v>931831.34</v>
      </c>
      <c r="AM40" s="14">
        <v>885165</v>
      </c>
    </row>
    <row r="41" spans="1:43" ht="20.25" x14ac:dyDescent="0.2">
      <c r="A41" s="15">
        <v>1401</v>
      </c>
      <c r="B41" s="8">
        <f>B40*1.38+171722+70000</f>
        <v>1881457.8371810247</v>
      </c>
      <c r="C41" s="8">
        <f t="shared" ref="C41:O41" si="56">C40*1.38+171722+70000</f>
        <v>1880520.7949099692</v>
      </c>
      <c r="D41" s="8">
        <f t="shared" si="56"/>
        <v>1880520.7949099692</v>
      </c>
      <c r="E41" s="8">
        <f t="shared" si="56"/>
        <v>1879115.2315033858</v>
      </c>
      <c r="F41" s="8">
        <f t="shared" si="56"/>
        <v>1877709.6680968027</v>
      </c>
      <c r="G41" s="8">
        <f t="shared" si="56"/>
        <v>1876304.1046902197</v>
      </c>
      <c r="H41" s="8">
        <f t="shared" si="56"/>
        <v>1874898.5412836364</v>
      </c>
      <c r="I41" s="8">
        <f t="shared" si="56"/>
        <v>1873727.2384448173</v>
      </c>
      <c r="J41" s="8">
        <f t="shared" si="56"/>
        <v>1872087.41447047</v>
      </c>
      <c r="K41" s="8">
        <f t="shared" si="56"/>
        <v>1870816.0184799698</v>
      </c>
      <c r="L41" s="8">
        <f t="shared" si="56"/>
        <v>1869278.8045063789</v>
      </c>
      <c r="M41" s="8">
        <f t="shared" si="56"/>
        <v>1867511.7300508199</v>
      </c>
      <c r="N41" s="8">
        <f t="shared" si="56"/>
        <v>1865466.9649470244</v>
      </c>
      <c r="O41" s="8">
        <f t="shared" si="56"/>
        <v>1863795.3368701816</v>
      </c>
      <c r="P41" s="8">
        <f t="shared" ref="P41" si="57">P40*1.38+171722+70000</f>
        <v>1862097.8601693066</v>
      </c>
      <c r="Q41" s="8">
        <f t="shared" ref="Q41" si="58">Q40*1.38+171722+70000</f>
        <v>1860117.8286354674</v>
      </c>
      <c r="R41" s="8">
        <f t="shared" ref="R41" si="59">R40*1.38+171722+70000</f>
        <v>1857698.1060818839</v>
      </c>
      <c r="S41" s="8">
        <f t="shared" ref="S41" si="60">S40*1.38+171722+70000</f>
        <v>1857698.1060818839</v>
      </c>
      <c r="T41" s="8">
        <f t="shared" ref="T41" si="61">T40*1.38+171722+70000</f>
        <v>1857698.1060818839</v>
      </c>
      <c r="U41" s="8">
        <f t="shared" ref="U41" si="62">U40*1.38+171722+70000</f>
        <v>1857698.1060818839</v>
      </c>
      <c r="V41" s="8">
        <f t="shared" ref="V41" si="63">V40*1.38+171722+70000</f>
        <v>1857698.1060818839</v>
      </c>
      <c r="W41" s="8">
        <f t="shared" ref="W41" si="64">W40*1.38+171722+70000</f>
        <v>1857698.1060818839</v>
      </c>
      <c r="X41" s="8">
        <f t="shared" ref="X41" si="65">X40*1.38+171722+70000</f>
        <v>1857698.1060818839</v>
      </c>
      <c r="Y41" s="8">
        <f t="shared" ref="Y41" si="66">Y40*1.38+171722+70000</f>
        <v>1850019.6047468823</v>
      </c>
      <c r="Z41" s="8">
        <f t="shared" ref="Z41" si="67">Z40*1.38+171722+70000</f>
        <v>1842706.7463325951</v>
      </c>
      <c r="AA41" s="8">
        <f t="shared" ref="AA41" si="68">AA40*1.38+171722+70000</f>
        <v>1835742.1192713692</v>
      </c>
      <c r="AB41" s="8">
        <f t="shared" ref="AB41" si="69">AB40*1.38+171722+70000</f>
        <v>1825328.7651053576</v>
      </c>
      <c r="AC41" s="8">
        <f t="shared" ref="AC41" si="70">AC40*1.38+171722+70000</f>
        <v>1815503.863590668</v>
      </c>
      <c r="AD41" s="8">
        <f t="shared" ref="AD41" si="71">AD40*1.38+171722+70000</f>
        <v>1804026.1749052822</v>
      </c>
      <c r="AE41" s="8">
        <f t="shared" ref="AE41" si="72">AE40*1.38+171722+70000</f>
        <v>1791505.0599757705</v>
      </c>
      <c r="AF41" s="8">
        <f t="shared" ref="AF41" si="73">AF40*1.38+171722+70000</f>
        <v>1772872.4484735208</v>
      </c>
      <c r="AG41" s="8">
        <f t="shared" ref="AG41" si="74">AG40*1.38+171722+70000</f>
        <v>1741022.1490271378</v>
      </c>
      <c r="AH41" s="8">
        <f t="shared" ref="AH41" si="75">AH40*1.38+171722+70000</f>
        <v>1713084.4074291855</v>
      </c>
      <c r="AI41" s="8">
        <f t="shared" ref="AI41" si="76">AI40*1.38+171722+70000</f>
        <v>1670677.6844521246</v>
      </c>
      <c r="AJ41" s="8">
        <f t="shared" ref="AJ41" si="77">AJ40*1.38+171722+70000</f>
        <v>1632265.8700037999</v>
      </c>
      <c r="AK41" s="8">
        <f t="shared" ref="AK41" si="78">AK40*1.38+171722+70000</f>
        <v>1585608.7565399997</v>
      </c>
      <c r="AL41" s="8">
        <f t="shared" ref="AL41" si="79">AL40*1.38+171722+70000</f>
        <v>1527649.2492</v>
      </c>
      <c r="AM41" s="8">
        <f t="shared" ref="AM41" si="80">AM40*1.38+171722+70000</f>
        <v>1463249.7</v>
      </c>
      <c r="AN41" s="14">
        <v>1393250</v>
      </c>
    </row>
    <row r="42" spans="1:43" ht="20.25" x14ac:dyDescent="0.2">
      <c r="A42" s="15">
        <v>1402</v>
      </c>
      <c r="B42" s="8">
        <f>B41*1.21+83596+70000</f>
        <v>2430159.9829890397</v>
      </c>
      <c r="C42" s="8">
        <f t="shared" ref="C42:U42" si="81">C41*1.21+83596+70000</f>
        <v>2429026.1618410628</v>
      </c>
      <c r="D42" s="8">
        <f t="shared" si="81"/>
        <v>2429026.1618410628</v>
      </c>
      <c r="E42" s="8">
        <f t="shared" si="81"/>
        <v>2427325.4301190968</v>
      </c>
      <c r="F42" s="8">
        <f t="shared" si="81"/>
        <v>2425624.6983971312</v>
      </c>
      <c r="G42" s="8">
        <f t="shared" si="81"/>
        <v>2423923.966675166</v>
      </c>
      <c r="H42" s="8">
        <f t="shared" si="81"/>
        <v>2422223.2349532</v>
      </c>
      <c r="I42" s="8">
        <f t="shared" si="81"/>
        <v>2420805.958518229</v>
      </c>
      <c r="J42" s="8">
        <f t="shared" si="81"/>
        <v>2418821.7715092688</v>
      </c>
      <c r="K42" s="8">
        <f t="shared" si="81"/>
        <v>2417283.3823607634</v>
      </c>
      <c r="L42" s="8">
        <f t="shared" si="81"/>
        <v>2415423.3534527184</v>
      </c>
      <c r="M42" s="8">
        <f t="shared" si="81"/>
        <v>2413285.1933614919</v>
      </c>
      <c r="N42" s="8">
        <f t="shared" si="81"/>
        <v>2410811.0275858995</v>
      </c>
      <c r="O42" s="8">
        <f t="shared" si="81"/>
        <v>2408788.3576129195</v>
      </c>
      <c r="P42" s="8">
        <f t="shared" si="81"/>
        <v>2406734.4108048608</v>
      </c>
      <c r="Q42" s="8">
        <f t="shared" si="81"/>
        <v>2404338.5726489155</v>
      </c>
      <c r="R42" s="8">
        <f t="shared" si="81"/>
        <v>2401410.7083590794</v>
      </c>
      <c r="S42" s="8">
        <f t="shared" si="81"/>
        <v>2401410.7083590794</v>
      </c>
      <c r="T42" s="8">
        <f t="shared" si="81"/>
        <v>2401410.7083590794</v>
      </c>
      <c r="U42" s="8">
        <f t="shared" si="81"/>
        <v>2401410.7083590794</v>
      </c>
      <c r="V42" s="8">
        <f t="shared" ref="V42" si="82">V41*1.21+83596+70000</f>
        <v>2401410.7083590794</v>
      </c>
      <c r="W42" s="8">
        <f t="shared" ref="W42" si="83">W41*1.21+83596+70000</f>
        <v>2401410.7083590794</v>
      </c>
      <c r="X42" s="8">
        <f t="shared" ref="X42" si="84">X41*1.21+83596+70000</f>
        <v>2401410.7083590794</v>
      </c>
      <c r="Y42" s="8">
        <f t="shared" ref="Y42" si="85">Y41*1.21+83596+70000</f>
        <v>2392119.7217437276</v>
      </c>
      <c r="Z42" s="8">
        <f t="shared" ref="Z42" si="86">Z41*1.21+83596+70000</f>
        <v>2383271.1630624402</v>
      </c>
      <c r="AA42" s="8">
        <f t="shared" ref="AA42" si="87">AA41*1.21+83596+70000</f>
        <v>2374843.9643183565</v>
      </c>
      <c r="AB42" s="8">
        <f t="shared" ref="AB42" si="88">AB41*1.21+83596+70000</f>
        <v>2362243.8057774827</v>
      </c>
      <c r="AC42" s="8">
        <f t="shared" ref="AC42" si="89">AC41*1.21+83596+70000</f>
        <v>2350355.6749447081</v>
      </c>
      <c r="AD42" s="8">
        <f t="shared" ref="AD42" si="90">AD41*1.21+83596+70000</f>
        <v>2336467.6716353912</v>
      </c>
      <c r="AE42" s="8">
        <f t="shared" ref="AE42" si="91">AE41*1.21+83596+70000</f>
        <v>2321317.1225706823</v>
      </c>
      <c r="AF42" s="8">
        <f t="shared" ref="AF42" si="92">AF41*1.21+83596+70000</f>
        <v>2298771.66265296</v>
      </c>
      <c r="AG42" s="8">
        <f t="shared" ref="AG42" si="93">AG41*1.21+83596+70000</f>
        <v>2260232.8003228367</v>
      </c>
      <c r="AH42" s="8">
        <f t="shared" ref="AH42" si="94">AH41*1.21+83596+70000</f>
        <v>2226428.1329893144</v>
      </c>
      <c r="AI42" s="8">
        <f t="shared" ref="AI42" si="95">AI41*1.21+83596+70000</f>
        <v>2175115.9981870707</v>
      </c>
      <c r="AJ42" s="8">
        <f t="shared" ref="AJ42" si="96">AJ41*1.21+83596+70000</f>
        <v>2128637.7027045977</v>
      </c>
      <c r="AK42" s="8">
        <f t="shared" ref="AK42" si="97">AK41*1.21+83596+70000</f>
        <v>2072182.5954133996</v>
      </c>
      <c r="AL42" s="8">
        <f t="shared" ref="AL42" si="98">AL41*1.21+83596+70000</f>
        <v>2002051.5915319999</v>
      </c>
      <c r="AM42" s="8">
        <f t="shared" ref="AM42:AN42" si="99">AM41*1.21+83596+70000</f>
        <v>1924128.1369999999</v>
      </c>
      <c r="AN42" s="8">
        <f t="shared" si="99"/>
        <v>1839428.5</v>
      </c>
      <c r="AO42" s="14">
        <v>1769428</v>
      </c>
    </row>
    <row r="43" spans="1:43" ht="20.25" x14ac:dyDescent="0.2">
      <c r="A43" s="15">
        <v>1403</v>
      </c>
      <c r="B43" s="8">
        <f>B42*1.22+230026+70000</f>
        <v>3264821.1792466282</v>
      </c>
      <c r="C43" s="8">
        <f t="shared" ref="C43:AO43" si="100">C42*1.22+230026+70000</f>
        <v>3263437.9174460964</v>
      </c>
      <c r="D43" s="8">
        <f t="shared" si="100"/>
        <v>3263437.9174460964</v>
      </c>
      <c r="E43" s="8">
        <f t="shared" si="100"/>
        <v>3261363.0247452981</v>
      </c>
      <c r="F43" s="8">
        <f t="shared" si="100"/>
        <v>3259288.1320444997</v>
      </c>
      <c r="G43" s="8">
        <f t="shared" si="100"/>
        <v>3257213.2393437023</v>
      </c>
      <c r="H43" s="8">
        <f t="shared" si="100"/>
        <v>3255138.346642904</v>
      </c>
      <c r="I43" s="8">
        <f t="shared" si="100"/>
        <v>3253409.2693922394</v>
      </c>
      <c r="J43" s="8">
        <f t="shared" si="100"/>
        <v>3250988.5612413078</v>
      </c>
      <c r="K43" s="8">
        <f t="shared" si="100"/>
        <v>3249111.726480131</v>
      </c>
      <c r="L43" s="8">
        <f t="shared" si="100"/>
        <v>3246842.4912123163</v>
      </c>
      <c r="M43" s="8">
        <f t="shared" si="100"/>
        <v>3244233.9359010202</v>
      </c>
      <c r="N43" s="8">
        <f t="shared" si="100"/>
        <v>3241215.4536547973</v>
      </c>
      <c r="O43" s="8">
        <f t="shared" si="100"/>
        <v>3238747.7962877615</v>
      </c>
      <c r="P43" s="8">
        <f t="shared" si="100"/>
        <v>3236241.9811819303</v>
      </c>
      <c r="Q43" s="8">
        <f t="shared" si="100"/>
        <v>3233319.0586316767</v>
      </c>
      <c r="R43" s="8">
        <f t="shared" si="100"/>
        <v>3229747.0641980767</v>
      </c>
      <c r="S43" s="8">
        <f t="shared" si="100"/>
        <v>3229747.0641980767</v>
      </c>
      <c r="T43" s="8">
        <f t="shared" si="100"/>
        <v>3229747.0641980767</v>
      </c>
      <c r="U43" s="8">
        <f t="shared" si="100"/>
        <v>3229747.0641980767</v>
      </c>
      <c r="V43" s="8">
        <f t="shared" si="100"/>
        <v>3229747.0641980767</v>
      </c>
      <c r="W43" s="8">
        <f t="shared" si="100"/>
        <v>3229747.0641980767</v>
      </c>
      <c r="X43" s="8">
        <f t="shared" si="100"/>
        <v>3229747.0641980767</v>
      </c>
      <c r="Y43" s="8">
        <f t="shared" si="100"/>
        <v>3218412.0605273475</v>
      </c>
      <c r="Z43" s="8">
        <f t="shared" si="100"/>
        <v>3207616.8189361771</v>
      </c>
      <c r="AA43" s="8">
        <f t="shared" si="100"/>
        <v>3197335.6364683947</v>
      </c>
      <c r="AB43" s="8">
        <f t="shared" si="100"/>
        <v>3181963.4430485289</v>
      </c>
      <c r="AC43" s="8">
        <f t="shared" si="100"/>
        <v>3167459.9234325439</v>
      </c>
      <c r="AD43" s="8">
        <f t="shared" si="100"/>
        <v>3150516.5593951773</v>
      </c>
      <c r="AE43" s="8">
        <f t="shared" si="100"/>
        <v>3132032.8895362322</v>
      </c>
      <c r="AF43" s="8">
        <f t="shared" si="100"/>
        <v>3104527.4284366113</v>
      </c>
      <c r="AG43" s="8">
        <f t="shared" si="100"/>
        <v>3057510.0163938608</v>
      </c>
      <c r="AH43" s="8">
        <f t="shared" si="100"/>
        <v>3016268.3222469636</v>
      </c>
      <c r="AI43" s="8">
        <f t="shared" si="100"/>
        <v>2953667.5177882263</v>
      </c>
      <c r="AJ43" s="8">
        <f t="shared" si="100"/>
        <v>2896963.9972996092</v>
      </c>
      <c r="AK43" s="8">
        <f t="shared" si="100"/>
        <v>2828088.7664043475</v>
      </c>
      <c r="AL43" s="8">
        <f t="shared" si="100"/>
        <v>2742528.9416690399</v>
      </c>
      <c r="AM43" s="8">
        <f t="shared" si="100"/>
        <v>2647462.3271399997</v>
      </c>
      <c r="AN43" s="8">
        <f t="shared" si="100"/>
        <v>2544128.77</v>
      </c>
      <c r="AO43" s="8">
        <f t="shared" si="100"/>
        <v>2458728.16</v>
      </c>
      <c r="AP43" s="14">
        <f>AO42*1.22+230026</f>
        <v>2388728.16</v>
      </c>
    </row>
    <row r="44" spans="1:43" ht="20.25" x14ac:dyDescent="0.2">
      <c r="A44" s="15">
        <v>1404</v>
      </c>
      <c r="B44" s="8">
        <f>B43*1.32+310536+94000</f>
        <v>4714099.956605549</v>
      </c>
      <c r="C44" s="8">
        <f t="shared" ref="C44:AP44" si="101">C43*1.32+310536+94000</f>
        <v>4712274.0510288477</v>
      </c>
      <c r="D44" s="8">
        <f t="shared" si="101"/>
        <v>4712274.0510288477</v>
      </c>
      <c r="E44" s="8">
        <f t="shared" si="101"/>
        <v>4709535.1926637935</v>
      </c>
      <c r="F44" s="8">
        <f t="shared" si="101"/>
        <v>4706796.3342987401</v>
      </c>
      <c r="G44" s="8">
        <f t="shared" si="101"/>
        <v>4704057.4759336868</v>
      </c>
      <c r="H44" s="8">
        <f t="shared" si="101"/>
        <v>4701318.6175686335</v>
      </c>
      <c r="I44" s="8">
        <f t="shared" si="101"/>
        <v>4699036.2355977558</v>
      </c>
      <c r="J44" s="8">
        <f t="shared" si="101"/>
        <v>4695840.9008385269</v>
      </c>
      <c r="K44" s="8">
        <f t="shared" si="101"/>
        <v>4693363.4789537732</v>
      </c>
      <c r="L44" s="8">
        <f t="shared" si="101"/>
        <v>4690368.0884002578</v>
      </c>
      <c r="M44" s="8">
        <f t="shared" si="101"/>
        <v>4686924.7953893468</v>
      </c>
      <c r="N44" s="8">
        <f t="shared" si="101"/>
        <v>4682940.3988243323</v>
      </c>
      <c r="O44" s="8">
        <f t="shared" si="101"/>
        <v>4679683.0910998452</v>
      </c>
      <c r="P44" s="8">
        <f t="shared" si="101"/>
        <v>4676375.4151601484</v>
      </c>
      <c r="Q44" s="8">
        <f t="shared" si="101"/>
        <v>4672517.1573938131</v>
      </c>
      <c r="R44" s="8">
        <f t="shared" si="101"/>
        <v>4667802.1247414611</v>
      </c>
      <c r="S44" s="8">
        <f t="shared" si="101"/>
        <v>4667802.1247414611</v>
      </c>
      <c r="T44" s="8">
        <f t="shared" si="101"/>
        <v>4667802.1247414611</v>
      </c>
      <c r="U44" s="8">
        <f t="shared" si="101"/>
        <v>4667802.1247414611</v>
      </c>
      <c r="V44" s="8">
        <f t="shared" si="101"/>
        <v>4667802.1247414611</v>
      </c>
      <c r="W44" s="8">
        <f t="shared" si="101"/>
        <v>4667802.1247414611</v>
      </c>
      <c r="X44" s="8">
        <f t="shared" si="101"/>
        <v>4667802.1247414611</v>
      </c>
      <c r="Y44" s="8">
        <f t="shared" si="101"/>
        <v>4652839.9198960988</v>
      </c>
      <c r="Z44" s="8">
        <f t="shared" si="101"/>
        <v>4638590.2009957535</v>
      </c>
      <c r="AA44" s="8">
        <f t="shared" si="101"/>
        <v>4625019.040138281</v>
      </c>
      <c r="AB44" s="8">
        <f t="shared" si="101"/>
        <v>4604727.7448240584</v>
      </c>
      <c r="AC44" s="8">
        <f t="shared" si="101"/>
        <v>4585583.0989309587</v>
      </c>
      <c r="AD44" s="8">
        <f t="shared" si="101"/>
        <v>4563217.8584016338</v>
      </c>
      <c r="AE44" s="8">
        <f t="shared" si="101"/>
        <v>4538819.4141878262</v>
      </c>
      <c r="AF44" s="8">
        <f t="shared" si="101"/>
        <v>4502512.2055363273</v>
      </c>
      <c r="AG44" s="8">
        <f t="shared" si="101"/>
        <v>4440449.2216398958</v>
      </c>
      <c r="AH44" s="8">
        <f t="shared" si="101"/>
        <v>4386010.1853659917</v>
      </c>
      <c r="AI44" s="8">
        <f t="shared" si="101"/>
        <v>4303377.1234804587</v>
      </c>
      <c r="AJ44" s="8">
        <f t="shared" si="101"/>
        <v>4228528.4764354844</v>
      </c>
      <c r="AK44" s="8">
        <f t="shared" si="101"/>
        <v>4137613.1716537387</v>
      </c>
      <c r="AL44" s="8">
        <f t="shared" si="101"/>
        <v>4024674.2030031327</v>
      </c>
      <c r="AM44" s="8">
        <f t="shared" si="101"/>
        <v>3899186.2718247999</v>
      </c>
      <c r="AN44" s="8">
        <f t="shared" si="101"/>
        <v>3762785.9764</v>
      </c>
      <c r="AO44" s="8">
        <f t="shared" si="101"/>
        <v>3650057.1712000002</v>
      </c>
      <c r="AP44" s="8">
        <f t="shared" si="101"/>
        <v>3557657.1712000002</v>
      </c>
      <c r="AQ44" s="14">
        <v>3463656</v>
      </c>
    </row>
    <row r="45" spans="1:43" ht="20.25" x14ac:dyDescent="0.2">
      <c r="A45" s="8"/>
      <c r="B45" s="16">
        <v>1363</v>
      </c>
      <c r="C45" s="16">
        <v>1364</v>
      </c>
      <c r="D45" s="16">
        <v>1365</v>
      </c>
      <c r="E45" s="16">
        <v>1366</v>
      </c>
      <c r="F45" s="16">
        <v>1367</v>
      </c>
      <c r="G45" s="16">
        <v>1368</v>
      </c>
      <c r="H45" s="16">
        <v>1369</v>
      </c>
      <c r="I45" s="16">
        <v>1370</v>
      </c>
      <c r="J45" s="16">
        <v>1371</v>
      </c>
      <c r="K45" s="16">
        <v>1372</v>
      </c>
      <c r="L45" s="16">
        <v>1373</v>
      </c>
      <c r="M45" s="16">
        <v>1374</v>
      </c>
      <c r="N45" s="16">
        <v>1375</v>
      </c>
      <c r="O45" s="16">
        <v>1376</v>
      </c>
      <c r="P45" s="16">
        <v>1377</v>
      </c>
      <c r="Q45" s="16">
        <v>1378</v>
      </c>
      <c r="R45" s="16">
        <v>1379</v>
      </c>
      <c r="S45" s="16">
        <v>1380</v>
      </c>
      <c r="T45" s="16">
        <v>1381</v>
      </c>
      <c r="U45" s="16">
        <v>1382</v>
      </c>
      <c r="V45" s="16">
        <v>1383</v>
      </c>
      <c r="W45" s="16">
        <v>1384</v>
      </c>
      <c r="X45" s="16">
        <v>1385</v>
      </c>
      <c r="Y45" s="16">
        <v>1386</v>
      </c>
      <c r="Z45" s="16">
        <v>1387</v>
      </c>
      <c r="AA45" s="16">
        <v>1388</v>
      </c>
      <c r="AB45" s="16">
        <v>1389</v>
      </c>
      <c r="AC45" s="16">
        <v>1390</v>
      </c>
      <c r="AD45" s="16">
        <v>1391</v>
      </c>
      <c r="AE45" s="16">
        <v>1392</v>
      </c>
      <c r="AF45" s="16">
        <v>1393</v>
      </c>
      <c r="AG45" s="16">
        <v>1394</v>
      </c>
      <c r="AH45" s="16">
        <v>1395</v>
      </c>
      <c r="AI45" s="16">
        <v>1396</v>
      </c>
      <c r="AJ45" s="16">
        <v>1397</v>
      </c>
      <c r="AK45" s="16">
        <v>1398</v>
      </c>
      <c r="AL45" s="16">
        <v>1399</v>
      </c>
      <c r="AM45" s="16">
        <v>1400</v>
      </c>
      <c r="AN45" s="16">
        <v>1401</v>
      </c>
      <c r="AO45" s="16">
        <v>1402</v>
      </c>
      <c r="AP45" s="16">
        <v>1403</v>
      </c>
      <c r="AQ45" s="16">
        <v>1404</v>
      </c>
    </row>
  </sheetData>
  <mergeCells count="3">
    <mergeCell ref="J1:X6"/>
    <mergeCell ref="J7:X7"/>
    <mergeCell ref="J8:X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tabSelected="1" topLeftCell="B1" zoomScaleNormal="100" workbookViewId="0">
      <selection activeCell="F3" sqref="F3"/>
    </sheetView>
  </sheetViews>
  <sheetFormatPr defaultRowHeight="15" x14ac:dyDescent="0.2"/>
  <cols>
    <col min="1" max="1" width="29.59375" customWidth="1"/>
    <col min="2" max="2" width="21.38671875" customWidth="1"/>
    <col min="3" max="3" width="9.14453125" hidden="1" customWidth="1"/>
    <col min="5" max="5" width="23.26953125" customWidth="1"/>
    <col min="6" max="6" width="17.484375" customWidth="1"/>
    <col min="7" max="7" width="84.34375" customWidth="1"/>
  </cols>
  <sheetData>
    <row r="1" spans="1:7" ht="36.75" customHeight="1" thickBot="1" x14ac:dyDescent="0.35">
      <c r="A1" s="53" t="s">
        <v>2</v>
      </c>
      <c r="B1" s="53"/>
      <c r="C1" s="53"/>
      <c r="D1" s="53"/>
      <c r="E1" s="53"/>
      <c r="F1" s="53"/>
      <c r="G1" s="53"/>
    </row>
    <row r="2" spans="1:7" ht="45" customHeight="1" thickBot="1" x14ac:dyDescent="0.25">
      <c r="E2" s="30" t="s">
        <v>16</v>
      </c>
      <c r="F2" s="27">
        <v>10000000</v>
      </c>
      <c r="G2" s="24" t="s">
        <v>43</v>
      </c>
    </row>
    <row r="3" spans="1:7" ht="21" thickBot="1" x14ac:dyDescent="0.25">
      <c r="A3" s="34" t="s">
        <v>5</v>
      </c>
      <c r="B3" s="39">
        <f>F2</f>
        <v>10000000</v>
      </c>
      <c r="E3" s="31" t="s">
        <v>13</v>
      </c>
      <c r="F3" s="28">
        <v>31</v>
      </c>
      <c r="G3" s="25" t="s">
        <v>32</v>
      </c>
    </row>
    <row r="4" spans="1:7" ht="21" thickBot="1" x14ac:dyDescent="0.25">
      <c r="A4" s="35" t="s">
        <v>6</v>
      </c>
      <c r="B4" s="40">
        <f>B3*F3</f>
        <v>310000000</v>
      </c>
      <c r="E4" s="31" t="s">
        <v>19</v>
      </c>
      <c r="F4" s="28">
        <v>2</v>
      </c>
      <c r="G4" s="25" t="s">
        <v>20</v>
      </c>
    </row>
    <row r="5" spans="1:7" ht="21" thickBot="1" x14ac:dyDescent="0.25">
      <c r="A5" s="35" t="s">
        <v>18</v>
      </c>
      <c r="B5" s="41">
        <f>3463656*3*F4*(IF(F3=31,30,F3))/30</f>
        <v>20781936</v>
      </c>
      <c r="E5" s="31" t="s">
        <v>12</v>
      </c>
      <c r="F5" s="49">
        <v>10</v>
      </c>
      <c r="G5" s="25" t="s">
        <v>14</v>
      </c>
    </row>
    <row r="6" spans="1:7" ht="21" thickBot="1" x14ac:dyDescent="0.25">
      <c r="A6" s="35" t="s">
        <v>7</v>
      </c>
      <c r="B6" s="41">
        <f>22000000*(IF(F3=31,30,F3))/30</f>
        <v>22000000</v>
      </c>
      <c r="E6" s="32" t="s">
        <v>15</v>
      </c>
      <c r="F6" s="29">
        <v>25</v>
      </c>
      <c r="G6" s="26" t="s">
        <v>42</v>
      </c>
    </row>
    <row r="7" spans="1:7" ht="23.25" customHeight="1" thickBot="1" x14ac:dyDescent="0.25">
      <c r="A7" s="35" t="s">
        <v>8</v>
      </c>
      <c r="B7" s="41">
        <f>9000000*(IF(F3=31,30,F3))/30</f>
        <v>9000000</v>
      </c>
      <c r="E7" s="32" t="s">
        <v>26</v>
      </c>
      <c r="F7" s="29">
        <v>10</v>
      </c>
      <c r="G7" s="26" t="s">
        <v>28</v>
      </c>
    </row>
    <row r="8" spans="1:7" ht="21.75" customHeight="1" thickBot="1" x14ac:dyDescent="0.25">
      <c r="A8" s="35" t="s">
        <v>9</v>
      </c>
      <c r="B8" s="42">
        <f>IF(IF(C8=FALSE,0,(B4+B12)*2/12)*((IF(F3=31,30,F3))/30)&gt;25977420,25977420,IF(C8=FALSE,0,(B4+B12)*2/12)*((IF(F3=31,30,F3))/30))</f>
        <v>25977420</v>
      </c>
      <c r="C8" s="20" t="b">
        <v>1</v>
      </c>
      <c r="E8" s="32" t="s">
        <v>33</v>
      </c>
      <c r="F8" s="29">
        <v>2</v>
      </c>
      <c r="G8" s="26" t="s">
        <v>29</v>
      </c>
    </row>
    <row r="9" spans="1:7" ht="25.5" customHeight="1" x14ac:dyDescent="0.2">
      <c r="A9" s="36" t="s">
        <v>10</v>
      </c>
      <c r="B9" s="42">
        <f>IF(C9=FALSE,0,(B4+B12)/12)*((IF(F3=31,30,F3))/30)</f>
        <v>25833335.416666668</v>
      </c>
      <c r="C9" s="20" t="b">
        <v>1</v>
      </c>
      <c r="G9" s="33" t="s">
        <v>22</v>
      </c>
    </row>
    <row r="10" spans="1:7" ht="24.75" customHeight="1" x14ac:dyDescent="0.2">
      <c r="A10" s="35" t="s">
        <v>11</v>
      </c>
      <c r="B10" s="43">
        <f>(B3+F6/30)/7.33*1.4*F5</f>
        <v>19099592.314688493</v>
      </c>
      <c r="G10" s="21"/>
    </row>
    <row r="11" spans="1:7" ht="24.75" customHeight="1" x14ac:dyDescent="0.2">
      <c r="A11" s="35" t="s">
        <v>24</v>
      </c>
      <c r="B11" s="43">
        <f>IF(C11=FALSE,0,5000000)*((IF(F3=31,30,F3))/30)</f>
        <v>5000000</v>
      </c>
      <c r="C11" s="20" t="b">
        <v>1</v>
      </c>
      <c r="G11" s="22"/>
    </row>
    <row r="12" spans="1:7" ht="24" customHeight="1" x14ac:dyDescent="0.2">
      <c r="A12" s="35" t="s">
        <v>17</v>
      </c>
      <c r="B12" s="43">
        <f>F6</f>
        <v>25</v>
      </c>
      <c r="G12" s="22"/>
    </row>
    <row r="13" spans="1:7" ht="24" customHeight="1" x14ac:dyDescent="0.2">
      <c r="A13" s="35" t="s">
        <v>27</v>
      </c>
      <c r="B13" s="43">
        <f>F7</f>
        <v>10</v>
      </c>
      <c r="E13" s="23"/>
      <c r="G13" s="22"/>
    </row>
    <row r="14" spans="1:7" ht="24" customHeight="1" x14ac:dyDescent="0.2">
      <c r="A14" s="35" t="s">
        <v>25</v>
      </c>
      <c r="B14" s="43">
        <f>F8*B3</f>
        <v>20000000</v>
      </c>
      <c r="G14" s="22"/>
    </row>
    <row r="15" spans="1:7" ht="18" x14ac:dyDescent="0.2">
      <c r="A15" s="35" t="s">
        <v>30</v>
      </c>
      <c r="B15" s="44">
        <f>SUM(B4:B14)</f>
        <v>457692318.73135519</v>
      </c>
    </row>
    <row r="16" spans="1:7" ht="18" x14ac:dyDescent="0.2">
      <c r="A16" s="35" t="s">
        <v>40</v>
      </c>
      <c r="B16" s="44">
        <f>SUM(B4+B10+B12+B6+B7+B11)*0.07</f>
        <v>25556973.212028198</v>
      </c>
      <c r="E16" s="23" t="s">
        <v>44</v>
      </c>
    </row>
    <row r="17" spans="1:2" ht="18" x14ac:dyDescent="0.2">
      <c r="A17" s="37" t="s">
        <v>41</v>
      </c>
      <c r="B17" s="45">
        <f>'محاسبه مالیات'!D9</f>
        <v>15048687.015399044</v>
      </c>
    </row>
    <row r="18" spans="1:2" ht="18.75" thickBot="1" x14ac:dyDescent="0.25">
      <c r="A18" s="38" t="s">
        <v>31</v>
      </c>
      <c r="B18" s="46">
        <f>B15-B16-B17</f>
        <v>417086658.50392795</v>
      </c>
    </row>
  </sheetData>
  <sheetProtection password="D3A0" sheet="1" objects="1" scenarios="1"/>
  <mergeCells count="1">
    <mergeCell ref="A1:G1"/>
  </mergeCells>
  <dataValidations count="2">
    <dataValidation type="whole" allowBlank="1" showInputMessage="1" showErrorMessage="1" errorTitle="خطای ورود تعداد روزهای کارکرد" error="تعداد روزها می بایست بین 0تا 31 باشد." sqref="F3" xr:uid="{00000000-0002-0000-0100-000000000000}">
      <formula1>0</formula1>
      <formula2>31</formula2>
    </dataValidation>
    <dataValidation type="whole" operator="greaterThanOrEqual" allowBlank="1" showInputMessage="1" showErrorMessage="1" errorTitle="خطای تعداد فرزند" error="تعداد فرزند نمی تواند منفی باشد." sqref="F4" xr:uid="{00000000-0002-0000-0100-000001000000}">
      <formula1>0</formula1>
    </dataValidation>
  </dataValidations>
  <hyperlinks>
    <hyperlink ref="E16" r:id="rId1" xr:uid="{00000000-0004-0000-0100-000000000000}"/>
  </hyperlinks>
  <pageMargins left="0.7" right="0.7" top="0.75" bottom="0.75" header="0.3" footer="0.3"/>
  <pageSetup paperSize="9" orientation="portrait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0</xdr:col>
                    <xdr:colOff>95250</xdr:colOff>
                    <xdr:row>8</xdr:row>
                    <xdr:rowOff>9525</xdr:rowOff>
                  </from>
                  <to>
                    <xdr:col>0</xdr:col>
                    <xdr:colOff>1495425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0</xdr:col>
                    <xdr:colOff>85725</xdr:colOff>
                    <xdr:row>7</xdr:row>
                    <xdr:rowOff>9525</xdr:rowOff>
                  </from>
                  <to>
                    <xdr:col>0</xdr:col>
                    <xdr:colOff>1943100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locked="0" defaultSize="0" autoFill="0" autoLine="0" autoPict="0">
                <anchor moveWithCells="1">
                  <from>
                    <xdr:col>0</xdr:col>
                    <xdr:colOff>95250</xdr:colOff>
                    <xdr:row>10</xdr:row>
                    <xdr:rowOff>9525</xdr:rowOff>
                  </from>
                  <to>
                    <xdr:col>0</xdr:col>
                    <xdr:colOff>1495425</xdr:colOff>
                    <xdr:row>10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"/>
  <sheetViews>
    <sheetView zoomScale="250" zoomScaleNormal="250" workbookViewId="0">
      <selection activeCell="D3" sqref="D3"/>
    </sheetView>
  </sheetViews>
  <sheetFormatPr defaultColWidth="9.14453125" defaultRowHeight="15" x14ac:dyDescent="0.2"/>
  <cols>
    <col min="1" max="2" width="9.14453125" style="1"/>
    <col min="3" max="3" width="18.29296875" style="1" customWidth="1"/>
    <col min="4" max="4" width="18.0234375" style="1" customWidth="1"/>
    <col min="5" max="16384" width="9.14453125" style="1"/>
  </cols>
  <sheetData>
    <row r="1" spans="1:4" x14ac:dyDescent="0.2">
      <c r="A1" s="54" t="s">
        <v>2</v>
      </c>
      <c r="B1" s="54"/>
      <c r="C1" s="54"/>
      <c r="D1" s="54"/>
    </row>
    <row r="2" spans="1:4" x14ac:dyDescent="0.2">
      <c r="A2" s="63" t="s">
        <v>45</v>
      </c>
      <c r="B2" s="63"/>
      <c r="C2" s="63"/>
      <c r="D2" s="63"/>
    </row>
    <row r="3" spans="1:4" ht="18" x14ac:dyDescent="0.2">
      <c r="A3" s="55" t="s">
        <v>1</v>
      </c>
      <c r="B3" s="56"/>
      <c r="C3" s="57"/>
      <c r="D3" s="47">
        <v>1404</v>
      </c>
    </row>
    <row r="4" spans="1:4" ht="18" x14ac:dyDescent="0.2">
      <c r="A4" s="55" t="s">
        <v>0</v>
      </c>
      <c r="B4" s="56"/>
      <c r="C4" s="57"/>
      <c r="D4" s="47">
        <v>1404</v>
      </c>
    </row>
    <row r="5" spans="1:4" ht="18" x14ac:dyDescent="0.2">
      <c r="A5" s="58" t="s">
        <v>4</v>
      </c>
      <c r="B5" s="59"/>
      <c r="C5" s="60"/>
      <c r="D5" s="48">
        <f>IF(D3&gt;D4,"اشتباه",INDEX(جدول!A1:AQ45,'محاسبه سریع'!D4-1360,'محاسبه سریع'!D3-1361))</f>
        <v>3463656</v>
      </c>
    </row>
    <row r="6" spans="1:4" ht="15" customHeight="1" x14ac:dyDescent="0.2">
      <c r="A6" s="61" t="str">
        <f>IF(D3&gt;D4,"سال استخدام نباید بالاتر از سال محاسبه دستمزد وارد شود","")</f>
        <v/>
      </c>
      <c r="B6" s="61"/>
      <c r="C6" s="61"/>
      <c r="D6" s="61"/>
    </row>
    <row r="7" spans="1:4" ht="15" customHeight="1" x14ac:dyDescent="0.2">
      <c r="A7" s="62"/>
      <c r="B7" s="62"/>
      <c r="C7" s="62"/>
      <c r="D7" s="62"/>
    </row>
    <row r="8" spans="1:4" x14ac:dyDescent="0.2">
      <c r="A8" s="62"/>
      <c r="B8" s="62"/>
      <c r="C8" s="62"/>
      <c r="D8" s="62"/>
    </row>
    <row r="9" spans="1:4" x14ac:dyDescent="0.2">
      <c r="A9" s="62"/>
      <c r="B9" s="62"/>
      <c r="C9" s="62"/>
      <c r="D9" s="62"/>
    </row>
  </sheetData>
  <sheetProtection password="C120" sheet="1" objects="1" scenarios="1"/>
  <mergeCells count="6">
    <mergeCell ref="A1:D1"/>
    <mergeCell ref="A3:C3"/>
    <mergeCell ref="A4:C4"/>
    <mergeCell ref="A5:C5"/>
    <mergeCell ref="A6:D9"/>
    <mergeCell ref="A2:D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جدول!$A$3:$A$44</xm:f>
          </x14:formula1>
          <xm:sqref>D3</xm:sqref>
        </x14:dataValidation>
        <x14:dataValidation type="list" allowBlank="1" showInputMessage="1" showErrorMessage="1" xr:uid="{00000000-0002-0000-0200-000001000000}">
          <x14:formula1>
            <xm:f>جدول!$B$45:$AQ$45</xm:f>
          </x14:formula1>
          <xm:sqref>D4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9"/>
  <sheetViews>
    <sheetView workbookViewId="0">
      <selection activeCell="B9" sqref="B9"/>
    </sheetView>
  </sheetViews>
  <sheetFormatPr defaultRowHeight="15" x14ac:dyDescent="0.2"/>
  <cols>
    <col min="1" max="1" width="29.59375" customWidth="1"/>
    <col min="2" max="2" width="17.484375" customWidth="1"/>
    <col min="3" max="3" width="12.5078125" bestFit="1" customWidth="1"/>
    <col min="4" max="4" width="18.29296875" customWidth="1"/>
  </cols>
  <sheetData>
    <row r="2" spans="1:4" x14ac:dyDescent="0.2">
      <c r="A2" s="17" t="s">
        <v>34</v>
      </c>
      <c r="B2" s="18">
        <f>IF(B9-240000000&lt;=0,0,B9-240000000)</f>
        <v>120324580.1026603</v>
      </c>
      <c r="C2" s="19">
        <f>B9-B2</f>
        <v>240000000</v>
      </c>
      <c r="D2" s="19">
        <f>C2*0</f>
        <v>0</v>
      </c>
    </row>
    <row r="3" spans="1:4" x14ac:dyDescent="0.2">
      <c r="A3" s="17" t="s">
        <v>35</v>
      </c>
      <c r="B3" s="18">
        <f>IF(B2-60000000&lt;=0,0,B2-60000000)</f>
        <v>60324580.102660298</v>
      </c>
      <c r="C3" s="19">
        <f>B2-B3</f>
        <v>60000000</v>
      </c>
      <c r="D3" s="19">
        <f>C3*0.1</f>
        <v>6000000</v>
      </c>
    </row>
    <row r="4" spans="1:4" x14ac:dyDescent="0.2">
      <c r="A4" s="17" t="s">
        <v>36</v>
      </c>
      <c r="B4" s="18">
        <f>IF(B3-80000000&lt;=0,0,B3-80000000)</f>
        <v>0</v>
      </c>
      <c r="C4" s="19">
        <f>B3-B4</f>
        <v>60324580.102660298</v>
      </c>
      <c r="D4" s="19">
        <f>C4*0.15</f>
        <v>9048687.0153990444</v>
      </c>
    </row>
    <row r="5" spans="1:4" x14ac:dyDescent="0.2">
      <c r="A5" s="17" t="s">
        <v>37</v>
      </c>
      <c r="B5" s="18">
        <f>IF(B4-120000000&lt;=0,0,B4-120000000)</f>
        <v>0</v>
      </c>
      <c r="C5" s="19">
        <f>B4-B5</f>
        <v>0</v>
      </c>
      <c r="D5" s="19">
        <f>C5*0.2</f>
        <v>0</v>
      </c>
    </row>
    <row r="6" spans="1:4" x14ac:dyDescent="0.2">
      <c r="A6" s="17" t="s">
        <v>38</v>
      </c>
      <c r="B6" s="18">
        <f>IF(B5-160000000&lt;=0,0,B5-160000000)</f>
        <v>0</v>
      </c>
      <c r="C6" s="19">
        <f>B5-B6</f>
        <v>0</v>
      </c>
      <c r="D6" s="19">
        <f>C6*0.25</f>
        <v>0</v>
      </c>
    </row>
    <row r="7" spans="1:4" x14ac:dyDescent="0.2">
      <c r="A7" s="17" t="s">
        <v>39</v>
      </c>
      <c r="B7" s="18">
        <f>IF(B9-660000000&lt;=0,0,B9-660000000)</f>
        <v>0</v>
      </c>
      <c r="C7" s="19">
        <f>B6</f>
        <v>0</v>
      </c>
      <c r="D7" s="19">
        <f>C7*0.3</f>
        <v>0</v>
      </c>
    </row>
    <row r="8" spans="1:4" x14ac:dyDescent="0.2">
      <c r="D8" s="19"/>
    </row>
    <row r="9" spans="1:4" x14ac:dyDescent="0.2">
      <c r="A9" t="s">
        <v>21</v>
      </c>
      <c r="B9" s="18">
        <f>'جدول حقوق ماهانه 1404'!B4+'جدول حقوق ماهانه 1404'!B5+'جدول حقوق ماهانه 1404'!B6+'جدول حقوق ماهانه 1404'!B7+'جدول حقوق ماهانه 1404'!B10+'جدول حقوق ماهانه 1404'!B12+'جدول حقوق ماهانه 1404'!B11-'جدول حقوق ماهانه 1404'!B16</f>
        <v>360324580.1026603</v>
      </c>
      <c r="C9" s="19">
        <f>SUM(C2:C7)</f>
        <v>360324580.1026603</v>
      </c>
      <c r="D9" s="19">
        <f>SUM(D2:D7)</f>
        <v>15048687.015399044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جدول</vt:lpstr>
      <vt:lpstr>جدول حقوق ماهانه 1404</vt:lpstr>
      <vt:lpstr>محاسبه سریع</vt:lpstr>
      <vt:lpstr>محاسبه مالیات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akhavan</dc:creator>
  <cp:lastModifiedBy>ali akhavan</cp:lastModifiedBy>
  <dcterms:created xsi:type="dcterms:W3CDTF">2018-04-20T17:24:10Z</dcterms:created>
  <dcterms:modified xsi:type="dcterms:W3CDTF">2025-03-19T18:31:10Z</dcterms:modified>
</cp:coreProperties>
</file>